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6 農業支援係\新しいフォルダー\"/>
    </mc:Choice>
  </mc:AlternateContent>
  <bookViews>
    <workbookView xWindow="480" yWindow="60" windowWidth="9540" windowHeight="8960" tabRatio="811"/>
  </bookViews>
  <sheets>
    <sheet name="販売計画" sheetId="13" r:id="rId1"/>
    <sheet name="収支計画" sheetId="15" r:id="rId2"/>
    <sheet name="付加価値額計画" sheetId="27" r:id="rId3"/>
  </sheets>
  <definedNames>
    <definedName name="_xlnm.Print_Area" localSheetId="1">収支計画!$A$1:$K$34</definedName>
    <definedName name="_xlnm.Print_Area" localSheetId="0">販売計画!$A$1:$L$40</definedName>
    <definedName name="_xlnm.Print_Area" localSheetId="2">付加価値額計画!$A$1:$K$51</definedName>
    <definedName name="管轄局">#REF!</definedName>
    <definedName name="政策目的">#REF!</definedName>
  </definedNames>
  <calcPr calcId="162913"/>
</workbook>
</file>

<file path=xl/calcChain.xml><?xml version="1.0" encoding="utf-8"?>
<calcChain xmlns="http://schemas.openxmlformats.org/spreadsheetml/2006/main">
  <c r="F33" i="27" l="1"/>
  <c r="F16" i="27" l="1"/>
  <c r="F15" i="27"/>
  <c r="J15" i="27" s="1"/>
  <c r="F14" i="27"/>
  <c r="J14" i="27" s="1"/>
  <c r="F13" i="27"/>
  <c r="F10" i="27" s="1"/>
  <c r="F12" i="27"/>
  <c r="F11" i="27"/>
  <c r="F21" i="27" l="1"/>
  <c r="F19" i="27"/>
  <c r="F18" i="27" s="1"/>
  <c r="D8" i="15"/>
  <c r="L24" i="13" l="1"/>
  <c r="L38" i="13" s="1"/>
  <c r="D29" i="15" l="1"/>
  <c r="F45" i="27"/>
  <c r="G45" i="27" s="1"/>
  <c r="H45" i="27" s="1"/>
  <c r="I45" i="27" s="1"/>
  <c r="J45" i="27" s="1"/>
  <c r="G46" i="27"/>
  <c r="J13" i="27"/>
  <c r="J12" i="27"/>
  <c r="J11" i="27"/>
  <c r="D7" i="15"/>
  <c r="D18" i="15"/>
  <c r="F31" i="15" l="1"/>
  <c r="H31" i="15"/>
  <c r="J31" i="15"/>
  <c r="F37" i="27" l="1"/>
  <c r="D25" i="15"/>
  <c r="F35" i="27"/>
  <c r="D17" i="15"/>
  <c r="H23" i="27"/>
  <c r="H22" i="27" s="1"/>
  <c r="I23" i="27"/>
  <c r="I22" i="27" s="1"/>
  <c r="G23" i="27"/>
  <c r="G22" i="27" s="1"/>
  <c r="F23" i="27"/>
  <c r="H21" i="27"/>
  <c r="H20" i="27" s="1"/>
  <c r="I21" i="27"/>
  <c r="I20" i="27" s="1"/>
  <c r="G21" i="27"/>
  <c r="G20" i="27" s="1"/>
  <c r="F39" i="27"/>
  <c r="J39" i="27" s="1"/>
  <c r="D26" i="15"/>
  <c r="I19" i="27"/>
  <c r="I18" i="27" s="1"/>
  <c r="H19" i="27"/>
  <c r="H18" i="27" s="1"/>
  <c r="G19" i="27"/>
  <c r="G18" i="27" s="1"/>
  <c r="I27" i="27"/>
  <c r="I26" i="27" s="1"/>
  <c r="H27" i="27"/>
  <c r="H26" i="27" s="1"/>
  <c r="G27" i="27"/>
  <c r="G26" i="27" s="1"/>
  <c r="F27" i="27"/>
  <c r="F26" i="27" s="1"/>
  <c r="I25" i="27"/>
  <c r="I24" i="27" s="1"/>
  <c r="H25" i="27"/>
  <c r="H24" i="27" s="1"/>
  <c r="G25" i="27"/>
  <c r="G24" i="27" s="1"/>
  <c r="F25" i="27"/>
  <c r="J26" i="27" l="1"/>
  <c r="J21" i="27"/>
  <c r="F20" i="27"/>
  <c r="J18" i="27"/>
  <c r="F24" i="27"/>
  <c r="J24" i="27" s="1"/>
  <c r="J25" i="27"/>
  <c r="I37" i="27"/>
  <c r="J37" i="27" s="1"/>
  <c r="F22" i="27"/>
  <c r="J22" i="27" s="1"/>
  <c r="J23" i="27"/>
  <c r="F34" i="27"/>
  <c r="J27" i="27"/>
  <c r="J19" i="27"/>
  <c r="H35" i="27"/>
  <c r="H34" i="27" s="1"/>
  <c r="I35" i="27"/>
  <c r="I34" i="27" s="1"/>
  <c r="G35" i="27"/>
  <c r="G34" i="27" s="1"/>
  <c r="G37" i="27"/>
  <c r="H37" i="27"/>
  <c r="G42" i="27"/>
  <c r="H42" i="27" s="1"/>
  <c r="I42" i="27" s="1"/>
  <c r="J42" i="27" s="1"/>
  <c r="J20" i="27" l="1"/>
  <c r="J35" i="27"/>
  <c r="J34" i="27"/>
  <c r="H16" i="27"/>
  <c r="H10" i="27" s="1"/>
  <c r="J40" i="27"/>
  <c r="I41" i="27"/>
  <c r="J41" i="27" s="1"/>
  <c r="H41" i="27"/>
  <c r="G41" i="27"/>
  <c r="H46" i="27"/>
  <c r="I46" i="27" s="1"/>
  <c r="J46" i="27" s="1"/>
  <c r="G44" i="27"/>
  <c r="H44" i="27" s="1"/>
  <c r="I44" i="27" s="1"/>
  <c r="J44" i="27" s="1"/>
  <c r="G43" i="27"/>
  <c r="H43" i="27" s="1"/>
  <c r="I43" i="27" s="1"/>
  <c r="J43" i="27" s="1"/>
  <c r="F36" i="27"/>
  <c r="H29" i="27"/>
  <c r="H28" i="27" s="1"/>
  <c r="I29" i="27"/>
  <c r="I28" i="27" s="1"/>
  <c r="G29" i="27"/>
  <c r="G28" i="27" s="1"/>
  <c r="F29" i="27"/>
  <c r="D23" i="15"/>
  <c r="D27" i="15"/>
  <c r="G16" i="27"/>
  <c r="G10" i="27" s="1"/>
  <c r="D12" i="13"/>
  <c r="F12" i="13"/>
  <c r="F31" i="27"/>
  <c r="D24" i="15"/>
  <c r="G31" i="27" l="1"/>
  <c r="G30" i="27" s="1"/>
  <c r="F32" i="27"/>
  <c r="F28" i="27"/>
  <c r="F17" i="27" s="1"/>
  <c r="J29" i="27"/>
  <c r="D31" i="15"/>
  <c r="I16" i="27"/>
  <c r="I36" i="27"/>
  <c r="J36" i="27" s="1"/>
  <c r="H36" i="27"/>
  <c r="G36" i="27"/>
  <c r="I31" i="27"/>
  <c r="I30" i="27" s="1"/>
  <c r="I17" i="27" s="1"/>
  <c r="F30" i="27"/>
  <c r="H31" i="27"/>
  <c r="H30" i="27" s="1"/>
  <c r="J16" i="27" l="1"/>
  <c r="I10" i="27"/>
  <c r="J28" i="27"/>
  <c r="J31" i="27"/>
  <c r="J30" i="27"/>
  <c r="G38" i="27"/>
  <c r="H38" i="27"/>
  <c r="I38" i="27"/>
  <c r="F38" i="27"/>
  <c r="J38" i="27" s="1"/>
  <c r="H33" i="27" l="1"/>
  <c r="H32" i="27" s="1"/>
  <c r="H17" i="27" s="1"/>
  <c r="G33" i="27"/>
  <c r="G32" i="27" s="1"/>
  <c r="G17" i="27" s="1"/>
  <c r="I33" i="27"/>
  <c r="I32" i="27" l="1"/>
  <c r="J33" i="27"/>
  <c r="H47" i="27"/>
  <c r="J17" i="27" l="1"/>
  <c r="J32" i="27"/>
  <c r="J10" i="27"/>
  <c r="F47" i="27"/>
  <c r="H48" i="27"/>
  <c r="F48" i="27"/>
  <c r="I47" i="27" l="1"/>
  <c r="J47" i="27" s="1"/>
  <c r="I48" i="27"/>
  <c r="J48" i="27" s="1"/>
  <c r="G47" i="27" l="1"/>
  <c r="G48" i="27"/>
  <c r="D7" i="13" l="1"/>
  <c r="D9" i="13" s="1"/>
  <c r="F7" i="13"/>
  <c r="F9" i="13" s="1"/>
  <c r="H7" i="13"/>
  <c r="H9" i="13" s="1"/>
  <c r="J7" i="13"/>
  <c r="J9" i="13" s="1"/>
  <c r="J12" i="13" l="1"/>
  <c r="J14" i="13" s="1"/>
  <c r="H12" i="13"/>
  <c r="H14" i="13" s="1"/>
  <c r="F14" i="13"/>
  <c r="D14" i="13"/>
  <c r="J13" i="15" l="1"/>
  <c r="H13" i="15"/>
  <c r="F13" i="15"/>
  <c r="D13" i="15"/>
  <c r="J33" i="13" l="1"/>
  <c r="H33" i="13"/>
  <c r="F33" i="13"/>
  <c r="D33" i="13"/>
  <c r="J30" i="13"/>
  <c r="H30" i="13"/>
  <c r="F30" i="13"/>
  <c r="D30" i="13"/>
  <c r="J27" i="13"/>
  <c r="H27" i="13"/>
  <c r="F27" i="13"/>
  <c r="D27" i="13"/>
  <c r="F24" i="13" l="1"/>
  <c r="F38" i="13" s="1"/>
  <c r="H24" i="13"/>
  <c r="H38" i="13" s="1"/>
  <c r="J24" i="13"/>
  <c r="J38" i="13" s="1"/>
  <c r="D24" i="13"/>
  <c r="D38" i="13" s="1"/>
  <c r="J34" i="13" l="1"/>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<sst xmlns="http://schemas.openxmlformats.org/spreadsheetml/2006/main" count="403" uniqueCount="204">
  <si>
    <t>ａ</t>
    <phoneticPr fontId="1"/>
  </si>
  <si>
    <t>－</t>
    <phoneticPr fontId="1"/>
  </si>
  <si>
    <t>○○の農業経営の現状と今後の販売計画</t>
    <rPh sb="3" eb="5">
      <t>ノウギョウ</t>
    </rPh>
    <rPh sb="5" eb="7">
      <t>ケイエイ</t>
    </rPh>
    <rPh sb="8" eb="10">
      <t>ゲンジョウ</t>
    </rPh>
    <rPh sb="11" eb="13">
      <t>コンゴ</t>
    </rPh>
    <rPh sb="14" eb="16">
      <t>ハンバイ</t>
    </rPh>
    <rPh sb="16" eb="18">
      <t>ケイカク</t>
    </rPh>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</si>
  <si>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</si>
  <si>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</si>
  <si>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</si>
  <si>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</si>
  <si>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</si>
  <si>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</si>
  <si>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</si>
  <si>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</si>
  <si>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</si>
  <si>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</si>
  <si>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</si>
  <si>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</si>
  <si>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</si>
  <si>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</si>
  <si>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</si>
  <si>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</si>
  <si>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</si>
  <si>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</si>
  <si>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</si>
  <si>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</si>
  <si>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</si>
  <si>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</si>
  <si>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</si>
  <si>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</si>
  <si>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</si>
  <si>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</si>
  <si>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</si>
  <si>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</si>
  <si>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</si>
  <si>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</si>
  <si>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</si>
  <si>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</si>
  <si>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</si>
  <si>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</si>
  <si>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</si>
  <si>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</si>
  <si>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</si>
  <si>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</si>
  <si>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</si>
  <si>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</si>
  <si>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</si>
  <si>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</si>
  <si>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</si>
  <si>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</si>
  <si>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</si>
  <si>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</si>
  <si>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</si>
  <si>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</si>
  <si>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</si>
  <si>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</si>
  <si>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</si>
  <si>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</si>
  <si>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</si>
  <si>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</si>
  <si>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</si>
  <si>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</si>
  <si>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</si>
  <si>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</si>
  <si>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</si>
  <si>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</si>
  <si>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</si>
  <si>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</si>
  <si>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</si>
  <si>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</si>
  <si>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</si>
  <si>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</si>
  <si>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</si>
  <si>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</si>
  <si>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</si>
  <si>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</si>
  <si>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</si>
  <si>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</si>
  <si>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</si>
  <si>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</si>
  <si>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</si>
  <si>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</si>
  <si>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</si>
  <si>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</si>
  <si>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</si>
  <si>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</si>
  <si>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</si>
  <si>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</si>
  <si>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</si>
  <si>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</si>
  <si>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</si>
  <si>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</si>
  <si>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</si>
  <si>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</si>
  <si>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</si>
  <si>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</si>
  <si>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</si>
  <si>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</si>
  <si>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</si>
  <si>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</si>
  <si>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</si>
  <si>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</si>
  <si>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</si>
  <si>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販売計画より</t>
    <rPh sb="0" eb="2">
      <t>ハンバイ</t>
    </rPh>
    <rPh sb="2" eb="4">
      <t>ケイカク</t>
    </rPh>
    <phoneticPr fontId="1"/>
  </si>
  <si>
    <t>備　考
（増減理由を記入）</t>
    <rPh sb="0" eb="1">
      <t>ソナエ</t>
    </rPh>
    <rPh sb="2" eb="3">
      <t>コウ</t>
    </rPh>
    <rPh sb="5" eb="7">
      <t>ゾウゲン</t>
    </rPh>
    <rPh sb="7" eb="9">
      <t>リユウ</t>
    </rPh>
    <rPh sb="10" eb="12">
      <t>キニュウ</t>
    </rPh>
    <phoneticPr fontId="1"/>
  </si>
  <si>
    <t>自脱型コンバイン　刈幅1.65mm　１台</t>
    <rPh sb="9" eb="10">
      <t>カ</t>
    </rPh>
    <rPh sb="10" eb="11">
      <t>ハバ</t>
    </rPh>
    <rPh sb="19" eb="20">
      <t>ダイ</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</si>
  <si>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</si>
  <si>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</si>
  <si>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</si>
  <si>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</si>
  <si>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</si>
  <si>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</si>
  <si>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</si>
  <si>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</si>
  <si>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</si>
  <si>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1"/>
  </si>
  <si>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1"/>
  </si>
  <si>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1"/>
  </si>
  <si>
    <t>変動費</t>
    <rPh sb="0" eb="2">
      <t>ヘンドウ</t>
    </rPh>
    <rPh sb="2" eb="3">
      <t>ヒ</t>
    </rPh>
    <phoneticPr fontId="1"/>
  </si>
  <si>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1"/>
  </si>
  <si>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1"/>
  </si>
  <si>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1"/>
  </si>
  <si>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1"/>
  </si>
  <si>
    <t>2,200円/月×12ヶ月＝24,000円</t>
    <rPh sb="7" eb="8">
      <t>ツキ</t>
    </rPh>
    <rPh sb="12" eb="13">
      <t>ゲツ</t>
    </rPh>
    <rPh sb="20" eb="21">
      <t>エン</t>
    </rPh>
    <phoneticPr fontId="1"/>
  </si>
  <si>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</si>
  <si>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</si>
  <si>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</si>
  <si>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</si>
  <si>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</si>
  <si>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1"/>
  </si>
  <si>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1"/>
  </si>
  <si>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1"/>
  </si>
  <si>
    <t>土地賃借料：13,500円/10a×1,490a＝2,011,500円
育苗施設リース料：50,000円</t>
    <rPh sb="34" eb="35">
      <t>エン</t>
    </rPh>
    <rPh sb="36" eb="38">
      <t>イクビョウ</t>
    </rPh>
    <rPh sb="38" eb="40">
      <t>シセツ</t>
    </rPh>
    <rPh sb="43" eb="44">
      <t>リョウ</t>
    </rPh>
    <rPh sb="51" eb="52">
      <t>エン</t>
    </rPh>
    <phoneticPr fontId="1"/>
  </si>
  <si>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1"/>
  </si>
  <si>
    <t>コンバイン導入に伴うコンバイン償却費（1,137千円）の増加</t>
    <rPh sb="5" eb="7">
      <t>ドウニュウ</t>
    </rPh>
    <rPh sb="8" eb="9">
      <t>トモナ</t>
    </rPh>
    <rPh sb="15" eb="18">
      <t>ショウキャクヒ</t>
    </rPh>
    <rPh sb="24" eb="26">
      <t>センエン</t>
    </rPh>
    <rPh sb="28" eb="30">
      <t>ゾウカ</t>
    </rPh>
    <phoneticPr fontId="1"/>
  </si>
  <si>
    <t>水稲刈取委託代：15,000円/10a×180a＝270,000円</t>
    <rPh sb="0" eb="2">
      <t>スイトウ</t>
    </rPh>
    <rPh sb="2" eb="3">
      <t>カ</t>
    </rPh>
    <rPh sb="3" eb="4">
      <t>ト</t>
    </rPh>
    <rPh sb="4" eb="6">
      <t>イタク</t>
    </rPh>
    <rPh sb="6" eb="7">
      <t>ダイ</t>
    </rPh>
    <phoneticPr fontId="1"/>
  </si>
  <si>
    <t>水稲面積拡大に伴う燃料代の増加</t>
    <rPh sb="0" eb="2">
      <t>スイトウ</t>
    </rPh>
    <rPh sb="2" eb="4">
      <t>メンセキ</t>
    </rPh>
    <rPh sb="4" eb="6">
      <t>カクダイ</t>
    </rPh>
    <rPh sb="7" eb="8">
      <t>トモナ</t>
    </rPh>
    <rPh sb="9" eb="12">
      <t>ネンリョウダイ</t>
    </rPh>
    <rPh sb="13" eb="15">
      <t>ゾウカ</t>
    </rPh>
    <phoneticPr fontId="1"/>
  </si>
  <si>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</si>
  <si>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</si>
  <si>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</si>
  <si>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</si>
  <si>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</si>
  <si>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</si>
  <si>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</si>
  <si>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</si>
  <si>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</si>
  <si>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</si>
  <si>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</si>
  <si>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</si>
  <si>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</si>
  <si>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</si>
  <si>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</si>
  <si>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鎌・草刈機等代：694,693円
トラクター等修理代：1,022,688円</t>
    <rPh sb="5" eb="6">
      <t>ナド</t>
    </rPh>
    <rPh sb="22" eb="23">
      <t>ナド</t>
    </rPh>
    <rPh sb="23" eb="26">
      <t>シュウリダイ</t>
    </rPh>
    <rPh sb="36" eb="37">
      <t>エン</t>
    </rPh>
    <phoneticPr fontId="1"/>
  </si>
  <si>
    <t>農具修繕費</t>
    <rPh sb="0" eb="2">
      <t>ノウグ</t>
    </rPh>
    <rPh sb="2" eb="4">
      <t>シュウゼン</t>
    </rPh>
    <phoneticPr fontId="1"/>
  </si>
  <si>
    <t>作業服、長靴、軍手等代：41,960円</t>
    <rPh sb="0" eb="3">
      <t>サギョウフク</t>
    </rPh>
    <rPh sb="4" eb="6">
      <t>ナガグツ</t>
    </rPh>
    <rPh sb="7" eb="9">
      <t>グンテ</t>
    </rPh>
    <rPh sb="9" eb="10">
      <t>ナド</t>
    </rPh>
    <rPh sb="10" eb="11">
      <t>ダイ</t>
    </rPh>
    <rPh sb="18" eb="19">
      <t>エン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</si>
  <si>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</si>
  <si>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</si>
  <si>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</si>
  <si>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</si>
  <si>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</si>
  <si>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</si>
  <si>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</si>
  <si>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交際費：28､256円
研修費：20,000円
税理士支払報酬：50,000円</t>
  </si>
  <si>
    <t>固定費</t>
  </si>
  <si>
    <t>土地改良区賦課金：4,450円/10a×1,490a＝663,050円</t>
    <rPh sb="0" eb="2">
      <t>トチ</t>
    </rPh>
    <rPh sb="2" eb="4">
      <t>カイリョウ</t>
    </rPh>
    <rPh sb="4" eb="5">
      <t>ク</t>
    </rPh>
    <rPh sb="5" eb="8">
      <t>フカキン</t>
    </rPh>
    <rPh sb="14" eb="15">
      <t>エン</t>
    </rPh>
    <rPh sb="34" eb="35">
      <t>エン</t>
    </rPh>
    <phoneticPr fontId="1"/>
  </si>
  <si>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1"/>
  </si>
  <si>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</si>
  <si>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</si>
  <si>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</si>
  <si>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水稲面積拡大に伴う種子代の増加</t>
    <rPh sb="0" eb="2">
      <t>スイトウ</t>
    </rPh>
    <rPh sb="2" eb="4">
      <t>メンセキ</t>
    </rPh>
    <rPh sb="4" eb="6">
      <t>カクダイ</t>
    </rPh>
    <rPh sb="7" eb="8">
      <t>トモナ</t>
    </rPh>
    <rPh sb="9" eb="11">
      <t>シュシ</t>
    </rPh>
    <rPh sb="11" eb="12">
      <t>ダイ</t>
    </rPh>
    <rPh sb="13" eb="15">
      <t>ゾウカ</t>
    </rPh>
    <phoneticPr fontId="1"/>
  </si>
  <si>
    <t>備考</t>
    <rPh sb="0" eb="1">
      <t>ソナエ</t>
    </rPh>
    <rPh sb="1" eb="2">
      <t>コウ</t>
    </rPh>
    <phoneticPr fontId="1"/>
  </si>
  <si>
    <t>①×②=③</t>
    <phoneticPr fontId="1"/>
  </si>
  <si>
    <t>現状維持</t>
    <rPh sb="0" eb="2">
      <t>ゲンジョウ</t>
    </rPh>
    <rPh sb="2" eb="4">
      <t>イジ</t>
    </rPh>
    <phoneticPr fontId="1"/>
  </si>
  <si>
    <t>水稲賃金：900円×1,248時間＝1,123,200円
だいこん賃金：900円×480時間＝432,000円
福利厚生費：35,000円</t>
    <rPh sb="0" eb="2">
      <t>スイトウ</t>
    </rPh>
    <rPh sb="2" eb="4">
      <t>チンギン</t>
    </rPh>
    <rPh sb="15" eb="17">
      <t>ジカン</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</si>
  <si>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</si>
  <si>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</si>
  <si>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</si>
  <si>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</si>
  <si>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</si>
  <si>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</si>
  <si>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</si>
  <si>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</si>
  <si>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1"/>
  </si>
  <si>
    <t>（R2年）</t>
    <rPh sb="3" eb="4">
      <t>ネン</t>
    </rPh>
    <phoneticPr fontId="1"/>
  </si>
  <si>
    <t>R4年度</t>
    <rPh sb="2" eb="4">
      <t>ネンド</t>
    </rPh>
    <phoneticPr fontId="1"/>
  </si>
  <si>
    <t>（R4年）</t>
    <rPh sb="3" eb="4">
      <t>ネン</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</si>
  <si>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</si>
  <si>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</si>
  <si>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</si>
  <si>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</si>
  <si>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水稲以外作物の販売額</t>
    <phoneticPr fontId="1"/>
  </si>
  <si>
    <t>棚卸額は現状維持</t>
    <rPh sb="0" eb="2">
      <t>タナオロ</t>
    </rPh>
    <rPh sb="2" eb="3">
      <t>ガク</t>
    </rPh>
    <rPh sb="4" eb="6">
      <t>ゲンジョウ</t>
    </rPh>
    <rPh sb="6" eb="8">
      <t>イジ</t>
    </rPh>
    <phoneticPr fontId="1"/>
  </si>
  <si>
    <t>R5年度</t>
    <rPh sb="2" eb="4">
      <t>ネンド</t>
    </rPh>
    <phoneticPr fontId="1"/>
  </si>
  <si>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1"/>
  </si>
  <si>
    <t>販売計画より
一部飼料用米</t>
    <rPh sb="0" eb="2">
      <t>ハンバイ</t>
    </rPh>
    <rPh sb="2" eb="4">
      <t>ケイカク</t>
    </rPh>
    <rPh sb="7" eb="9">
      <t>イチブ</t>
    </rPh>
    <rPh sb="9" eb="12">
      <t>シリョウヨウ</t>
    </rPh>
    <rPh sb="12" eb="13">
      <t>コメ</t>
    </rPh>
    <phoneticPr fontId="1"/>
  </si>
  <si>
    <t>（R5年）</t>
    <rPh sb="3" eb="4">
      <t>ネン</t>
    </rPh>
    <phoneticPr fontId="1"/>
  </si>
  <si>
    <t>現状維持</t>
    <rPh sb="0" eb="2">
      <t>ゲンジョウ</t>
    </rPh>
    <rPh sb="2" eb="4">
      <t>イジ</t>
    </rPh>
    <phoneticPr fontId="1"/>
  </si>
  <si>
    <t>被服費</t>
    <rPh sb="0" eb="2">
      <t>ヒフク</t>
    </rPh>
    <rPh sb="2" eb="3">
      <t>ヒ</t>
    </rPh>
    <phoneticPr fontId="1"/>
  </si>
  <si>
    <t>コンバイン導入、面積購入に伴う増加</t>
    <rPh sb="8" eb="10">
      <t>メンセキ</t>
    </rPh>
    <rPh sb="10" eb="12">
      <t>コウニュウ</t>
    </rPh>
    <rPh sb="13" eb="14">
      <t>トモナ</t>
    </rPh>
    <phoneticPr fontId="1"/>
  </si>
  <si>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1"/>
  </si>
  <si>
    <t>（参考資料１）</t>
    <rPh sb="1" eb="3">
      <t>サンコウ</t>
    </rPh>
    <rPh sb="3" eb="5">
      <t>シリョウ</t>
    </rPh>
    <phoneticPr fontId="1"/>
  </si>
  <si>
    <t>R6年度</t>
    <rPh sb="2" eb="4">
      <t>ネンド</t>
    </rPh>
    <phoneticPr fontId="1"/>
  </si>
  <si>
    <t>１年度目（R4年度）</t>
    <rPh sb="1" eb="2">
      <t>ネン</t>
    </rPh>
    <rPh sb="2" eb="4">
      <t>ドメ</t>
    </rPh>
    <phoneticPr fontId="1"/>
  </si>
  <si>
    <t>現状（R3年度）</t>
    <rPh sb="0" eb="2">
      <t>ゲンジョウ</t>
    </rPh>
    <phoneticPr fontId="1"/>
  </si>
  <si>
    <t>２年度目（R5年度）</t>
    <rPh sb="1" eb="2">
      <t>ネン</t>
    </rPh>
    <rPh sb="2" eb="4">
      <t>ドメ</t>
    </rPh>
    <phoneticPr fontId="1"/>
  </si>
  <si>
    <t>目標年度（R6年度）</t>
    <rPh sb="0" eb="2">
      <t>モクヒョウ</t>
    </rPh>
    <rPh sb="2" eb="4">
      <t>ネンド</t>
    </rPh>
    <phoneticPr fontId="1"/>
  </si>
  <si>
    <t>（R6年）</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</si>
</sst>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10</xdr:col>
      <xdr:colOff>285750</xdr:colOff>
      <xdr:row>1</xdr:row>
      <xdr:rowOff>0</xdr:rowOff>
    </xdr:from>
    <xdr:to>
      <xdr:col>10</xdr:col>
      <xdr:colOff>2238377</xdr:colOff>
      <xdr:row>4</xdr:row>
      <xdr:rowOff>9525</xdr:rowOff>
    </xdr:to>
    <xdr:sp macro="" textlink="">
      <xdr:nvSpPr>
        <xdr:cNvPr id="2" name="テキスト ボックス 1"/>
        <xdr:cNvSpPr txBox="1"/>
      </xdr:nvSpPr>
      <xdr:spPr>
        <a:xfrm>
          <a:off x="7067550" y="0"/>
          <a:ext cx="1952627" cy="64770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S21" sqref="S21"/>
    </sheetView>
  </sheetViews>
  <sheetFormatPr defaultColWidth="9" defaultRowHeight="13" x14ac:dyDescent="0.2"/>
  <cols>
    <col min="1" max="1" width="10.6328125" style="2" customWidth="1"/>
    <col min="2" max="2" width="9.6328125" style="2" customWidth="1"/>
    <col min="3" max="3" width="8.26953125" style="2" bestFit="1" customWidth="1"/>
    <col min="4" max="4" width="10.6328125" style="2" customWidth="1"/>
    <col min="5" max="5" width="6.6328125" style="2" customWidth="1"/>
    <col min="6" max="6" width="10.6328125" style="2" customWidth="1"/>
    <col min="7" max="7" width="6.6328125" style="2" customWidth="1"/>
    <col min="8" max="8" width="10.6328125" style="2" customWidth="1"/>
    <col min="9" max="9" width="6.6328125" style="2" customWidth="1"/>
    <col min="10" max="10" width="10.6328125" style="2" customWidth="1"/>
    <col min="11" max="11" width="6.6328125" style="2" customWidth="1"/>
    <col min="12" max="12" width="15.6328125" style="2" customWidth="1"/>
    <col min="13" max="16384" width="9" style="2"/>
  </cols>
  <sheetData>
    <row r="1" spans="1:12" ht="19" x14ac:dyDescent="0.2">
      <c r="A1" s="179" t="s">
        <v>2</v>
      </c>
      <c r="B1" s="179"/>
      <c r="C1" s="179"/>
      <c r="D1" s="179"/>
      <c r="E1" s="179"/>
      <c r="F1" s="179"/>
      <c r="G1" s="179"/>
      <c r="H1" s="179"/>
      <c r="I1" s="179"/>
      <c r="J1" s="179"/>
      <c r="K1" s="179"/>
      <c r="L1" s="179"/>
    </row>
    <row r="2" spans="1:12" x14ac:dyDescent="0.2">
      <c r="G2" s="3"/>
    </row>
    <row r="3" spans="1:12" x14ac:dyDescent="0.2">
      <c r="A3" s="2" t="s">
        <v>3</v>
      </c>
      <c r="G3" s="3"/>
    </row>
    <row r="4" spans="1:12" x14ac:dyDescent="0.2">
      <c r="A4" s="140" t="s">
        <v>173</v>
      </c>
      <c r="B4" s="171" t="s">
        <v>87</v>
      </c>
      <c r="C4" s="171"/>
      <c r="D4" s="172" t="s">
        <v>41</v>
      </c>
      <c r="E4" s="172"/>
      <c r="F4" s="172" t="s">
        <v>181</v>
      </c>
      <c r="G4" s="172"/>
      <c r="H4" s="172" t="s">
        <v>189</v>
      </c>
      <c r="I4" s="172"/>
      <c r="J4" s="172" t="s">
        <v>198</v>
      </c>
      <c r="K4" s="172"/>
      <c r="L4" s="140" t="s">
        <v>167</v>
      </c>
    </row>
    <row r="5" spans="1:12" x14ac:dyDescent="0.2">
      <c r="A5" s="173" t="s">
        <v>4</v>
      </c>
      <c r="B5" s="152" t="s">
        <v>5</v>
      </c>
      <c r="C5" s="155" t="s">
        <v>6</v>
      </c>
      <c r="D5" s="5">
        <v>1590</v>
      </c>
      <c r="E5" s="36" t="s">
        <v>0</v>
      </c>
      <c r="F5" s="5">
        <v>1716</v>
      </c>
      <c r="G5" s="36" t="s">
        <v>0</v>
      </c>
      <c r="H5" s="5">
        <v>1921</v>
      </c>
      <c r="I5" s="36" t="s">
        <v>0</v>
      </c>
      <c r="J5" s="5">
        <v>2532</v>
      </c>
      <c r="K5" s="36" t="s">
        <v>0</v>
      </c>
      <c r="L5" s="176" t="s">
        <v>183</v>
      </c>
    </row>
    <row r="6" spans="1:12" x14ac:dyDescent="0.2">
      <c r="A6" s="174"/>
      <c r="B6" s="153" t="s">
        <v>7</v>
      </c>
      <c r="C6" s="156" t="s">
        <v>8</v>
      </c>
      <c r="D6" s="6">
        <v>422</v>
      </c>
      <c r="E6" s="7" t="s">
        <v>9</v>
      </c>
      <c r="F6" s="6">
        <v>430</v>
      </c>
      <c r="G6" s="7" t="s">
        <v>9</v>
      </c>
      <c r="H6" s="6">
        <v>430</v>
      </c>
      <c r="I6" s="7" t="s">
        <v>9</v>
      </c>
      <c r="J6" s="6">
        <v>430</v>
      </c>
      <c r="K6" s="7" t="s">
        <v>9</v>
      </c>
      <c r="L6" s="178"/>
    </row>
    <row r="7" spans="1:12" x14ac:dyDescent="0.2">
      <c r="A7" s="174"/>
      <c r="B7" s="153" t="s">
        <v>10</v>
      </c>
      <c r="C7" s="156" t="s">
        <v>168</v>
      </c>
      <c r="D7" s="6">
        <f>D5*D6/10</f>
        <v>67098</v>
      </c>
      <c r="E7" s="7" t="s">
        <v>11</v>
      </c>
      <c r="F7" s="6">
        <f>F5*F6/10</f>
        <v>73788</v>
      </c>
      <c r="G7" s="7" t="s">
        <v>11</v>
      </c>
      <c r="H7" s="6">
        <f>H5*H6/10</f>
        <v>82603</v>
      </c>
      <c r="I7" s="7" t="s">
        <v>11</v>
      </c>
      <c r="J7" s="6">
        <f>J5*J6/10</f>
        <v>108876</v>
      </c>
      <c r="K7" s="7" t="s">
        <v>11</v>
      </c>
      <c r="L7" s="178"/>
    </row>
    <row r="8" spans="1:12" x14ac:dyDescent="0.2">
      <c r="A8" s="174"/>
      <c r="B8" s="153" t="s">
        <v>12</v>
      </c>
      <c r="C8" s="156" t="s">
        <v>13</v>
      </c>
      <c r="D8" s="6">
        <v>182</v>
      </c>
      <c r="E8" s="7" t="s">
        <v>14</v>
      </c>
      <c r="F8" s="6">
        <v>193</v>
      </c>
      <c r="G8" s="7" t="s">
        <v>14</v>
      </c>
      <c r="H8" s="6">
        <v>193</v>
      </c>
      <c r="I8" s="7" t="s">
        <v>14</v>
      </c>
      <c r="J8" s="6">
        <v>193</v>
      </c>
      <c r="K8" s="7" t="s">
        <v>14</v>
      </c>
      <c r="L8" s="178"/>
    </row>
    <row r="9" spans="1:12" x14ac:dyDescent="0.2">
      <c r="A9" s="175"/>
      <c r="B9" s="154" t="s">
        <v>15</v>
      </c>
      <c r="C9" s="157" t="s">
        <v>16</v>
      </c>
      <c r="D9" s="8">
        <f>D7*D8</f>
        <v>12211836</v>
      </c>
      <c r="E9" s="9" t="s">
        <v>17</v>
      </c>
      <c r="F9" s="8">
        <f>F7*F8</f>
        <v>14241084</v>
      </c>
      <c r="G9" s="9" t="s">
        <v>17</v>
      </c>
      <c r="H9" s="8">
        <f>H7*H8</f>
        <v>15942379</v>
      </c>
      <c r="I9" s="9" t="s">
        <v>17</v>
      </c>
      <c r="J9" s="8">
        <f>J7*J8</f>
        <v>21013068</v>
      </c>
      <c r="K9" s="9" t="s">
        <v>17</v>
      </c>
      <c r="L9" s="177"/>
    </row>
    <row r="10" spans="1:12" x14ac:dyDescent="0.2">
      <c r="A10" s="173" t="s">
        <v>70</v>
      </c>
      <c r="B10" s="152" t="s">
        <v>5</v>
      </c>
      <c r="C10" s="155" t="s">
        <v>61</v>
      </c>
      <c r="D10" s="5">
        <v>80</v>
      </c>
      <c r="E10" s="36" t="s">
        <v>56</v>
      </c>
      <c r="F10" s="5">
        <v>80</v>
      </c>
      <c r="G10" s="36" t="s">
        <v>56</v>
      </c>
      <c r="H10" s="5">
        <v>80</v>
      </c>
      <c r="I10" s="36" t="s">
        <v>56</v>
      </c>
      <c r="J10" s="5">
        <v>80</v>
      </c>
      <c r="K10" s="36" t="s">
        <v>56</v>
      </c>
      <c r="L10" s="176" t="s">
        <v>169</v>
      </c>
    </row>
    <row r="11" spans="1:12" x14ac:dyDescent="0.2">
      <c r="A11" s="174"/>
      <c r="B11" s="153" t="s">
        <v>7</v>
      </c>
      <c r="C11" s="156" t="s">
        <v>62</v>
      </c>
      <c r="D11" s="6">
        <v>5810</v>
      </c>
      <c r="E11" s="7" t="s">
        <v>57</v>
      </c>
      <c r="F11" s="6">
        <v>5810</v>
      </c>
      <c r="G11" s="7" t="s">
        <v>57</v>
      </c>
      <c r="H11" s="6">
        <v>5810</v>
      </c>
      <c r="I11" s="7" t="s">
        <v>57</v>
      </c>
      <c r="J11" s="6">
        <v>5810</v>
      </c>
      <c r="K11" s="7" t="s">
        <v>57</v>
      </c>
      <c r="L11" s="178"/>
    </row>
    <row r="12" spans="1:12" x14ac:dyDescent="0.2">
      <c r="A12" s="174"/>
      <c r="B12" s="153" t="s">
        <v>10</v>
      </c>
      <c r="C12" s="156" t="s">
        <v>168</v>
      </c>
      <c r="D12" s="6">
        <f>D10*D11/10</f>
        <v>46480</v>
      </c>
      <c r="E12" s="7" t="s">
        <v>58</v>
      </c>
      <c r="F12" s="6">
        <f>F10*F11/10</f>
        <v>46480</v>
      </c>
      <c r="G12" s="7" t="s">
        <v>58</v>
      </c>
      <c r="H12" s="6">
        <f>H10*H11/10</f>
        <v>46480</v>
      </c>
      <c r="I12" s="7" t="s">
        <v>58</v>
      </c>
      <c r="J12" s="6">
        <f>J10*J11/10</f>
        <v>46480</v>
      </c>
      <c r="K12" s="7" t="s">
        <v>58</v>
      </c>
      <c r="L12" s="178"/>
    </row>
    <row r="13" spans="1:12" x14ac:dyDescent="0.2">
      <c r="A13" s="174"/>
      <c r="B13" s="153" t="s">
        <v>12</v>
      </c>
      <c r="C13" s="156" t="s">
        <v>63</v>
      </c>
      <c r="D13" s="6">
        <v>72</v>
      </c>
      <c r="E13" s="7" t="s">
        <v>59</v>
      </c>
      <c r="F13" s="6">
        <v>72</v>
      </c>
      <c r="G13" s="7" t="s">
        <v>59</v>
      </c>
      <c r="H13" s="6">
        <v>72</v>
      </c>
      <c r="I13" s="7" t="s">
        <v>59</v>
      </c>
      <c r="J13" s="6">
        <v>72</v>
      </c>
      <c r="K13" s="7" t="s">
        <v>59</v>
      </c>
      <c r="L13" s="178"/>
    </row>
    <row r="14" spans="1:12" x14ac:dyDescent="0.2">
      <c r="A14" s="175"/>
      <c r="B14" s="154" t="s">
        <v>15</v>
      </c>
      <c r="C14" s="157" t="s">
        <v>64</v>
      </c>
      <c r="D14" s="8">
        <f>+D12*D13</f>
        <v>3346560</v>
      </c>
      <c r="E14" s="9" t="s">
        <v>60</v>
      </c>
      <c r="F14" s="8">
        <f t="shared" ref="F14" si="0">+F12*F13</f>
        <v>3346560</v>
      </c>
      <c r="G14" s="9" t="s">
        <v>60</v>
      </c>
      <c r="H14" s="8">
        <f t="shared" ref="H14" si="1">+H12*H13</f>
        <v>3346560</v>
      </c>
      <c r="I14" s="9" t="s">
        <v>60</v>
      </c>
      <c r="J14" s="8">
        <f t="shared" ref="J14" si="2">+J12*J13</f>
        <v>3346560</v>
      </c>
      <c r="K14" s="9" t="s">
        <v>60</v>
      </c>
      <c r="L14" s="177"/>
    </row>
    <row r="15" spans="1:12" x14ac:dyDescent="0.2">
      <c r="A15" s="173"/>
      <c r="B15" s="152" t="s">
        <v>5</v>
      </c>
      <c r="C15" s="155" t="s">
        <v>18</v>
      </c>
      <c r="D15" s="5"/>
      <c r="E15" s="36" t="s">
        <v>0</v>
      </c>
      <c r="F15" s="5"/>
      <c r="G15" s="36" t="s">
        <v>0</v>
      </c>
      <c r="H15" s="5"/>
      <c r="I15" s="36" t="s">
        <v>0</v>
      </c>
      <c r="J15" s="5"/>
      <c r="K15" s="36" t="s">
        <v>0</v>
      </c>
      <c r="L15" s="176"/>
    </row>
    <row r="16" spans="1:12" x14ac:dyDescent="0.2">
      <c r="A16" s="174"/>
      <c r="B16" s="153" t="s">
        <v>7</v>
      </c>
      <c r="C16" s="156" t="s">
        <v>19</v>
      </c>
      <c r="D16" s="6"/>
      <c r="E16" s="7" t="s">
        <v>9</v>
      </c>
      <c r="F16" s="6"/>
      <c r="G16" s="7" t="s">
        <v>9</v>
      </c>
      <c r="H16" s="6"/>
      <c r="I16" s="7" t="s">
        <v>9</v>
      </c>
      <c r="J16" s="6"/>
      <c r="K16" s="7" t="s">
        <v>9</v>
      </c>
      <c r="L16" s="178"/>
    </row>
    <row r="17" spans="1:12" x14ac:dyDescent="0.2">
      <c r="A17" s="174"/>
      <c r="B17" s="153" t="s">
        <v>10</v>
      </c>
      <c r="C17" s="156" t="s">
        <v>168</v>
      </c>
      <c r="D17" s="6">
        <f>D15*D16/10</f>
        <v>0</v>
      </c>
      <c r="E17" s="7" t="s">
        <v>11</v>
      </c>
      <c r="F17" s="6">
        <f>F15*F16/10</f>
        <v>0</v>
      </c>
      <c r="G17" s="7" t="s">
        <v>11</v>
      </c>
      <c r="H17" s="6">
        <f>H15*H16/10</f>
        <v>0</v>
      </c>
      <c r="I17" s="7" t="s">
        <v>11</v>
      </c>
      <c r="J17" s="6">
        <f>J15*J16/10</f>
        <v>0</v>
      </c>
      <c r="K17" s="7" t="s">
        <v>11</v>
      </c>
      <c r="L17" s="178"/>
    </row>
    <row r="18" spans="1:12" x14ac:dyDescent="0.2">
      <c r="A18" s="174"/>
      <c r="B18" s="153" t="s">
        <v>12</v>
      </c>
      <c r="C18" s="156" t="s">
        <v>21</v>
      </c>
      <c r="D18" s="6"/>
      <c r="E18" s="7" t="s">
        <v>14</v>
      </c>
      <c r="F18" s="6"/>
      <c r="G18" s="7" t="s">
        <v>14</v>
      </c>
      <c r="H18" s="6"/>
      <c r="I18" s="7" t="s">
        <v>14</v>
      </c>
      <c r="J18" s="6"/>
      <c r="K18" s="7" t="s">
        <v>14</v>
      </c>
      <c r="L18" s="178"/>
    </row>
    <row r="19" spans="1:12" x14ac:dyDescent="0.2">
      <c r="A19" s="175"/>
      <c r="B19" s="154" t="s">
        <v>15</v>
      </c>
      <c r="C19" s="157" t="s">
        <v>22</v>
      </c>
      <c r="D19" s="8">
        <f>+D17*D18</f>
        <v>0</v>
      </c>
      <c r="E19" s="9" t="s">
        <v>17</v>
      </c>
      <c r="F19" s="8">
        <f t="shared" ref="F19" si="3">+F17*F18</f>
        <v>0</v>
      </c>
      <c r="G19" s="9" t="s">
        <v>17</v>
      </c>
      <c r="H19" s="8">
        <f t="shared" ref="H19" si="4">+H17*H18</f>
        <v>0</v>
      </c>
      <c r="I19" s="9" t="s">
        <v>17</v>
      </c>
      <c r="J19" s="8">
        <f t="shared" ref="J19" si="5">+J17*J18</f>
        <v>0</v>
      </c>
      <c r="K19" s="9" t="s">
        <v>17</v>
      </c>
      <c r="L19" s="177"/>
    </row>
    <row r="20" spans="1:12" x14ac:dyDescent="0.2">
      <c r="A20" s="169" t="s">
        <v>23</v>
      </c>
      <c r="B20" s="170"/>
      <c r="C20" s="158" t="s">
        <v>24</v>
      </c>
      <c r="D20" s="144">
        <f>D9+D14+D19</f>
        <v>15558396</v>
      </c>
      <c r="E20" s="145" t="s">
        <v>17</v>
      </c>
      <c r="F20" s="144">
        <f>F9+F14+F19</f>
        <v>17587644</v>
      </c>
      <c r="G20" s="145" t="s">
        <v>17</v>
      </c>
      <c r="H20" s="144">
        <f>H9+H14+H19</f>
        <v>19288939</v>
      </c>
      <c r="I20" s="145" t="s">
        <v>17</v>
      </c>
      <c r="J20" s="144">
        <f>J9+J14+J19</f>
        <v>24359628</v>
      </c>
      <c r="K20" s="145" t="s">
        <v>17</v>
      </c>
      <c r="L20" s="176"/>
    </row>
    <row r="21" spans="1:12" x14ac:dyDescent="0.2">
      <c r="A21" s="167" t="s">
        <v>67</v>
      </c>
      <c r="B21" s="168"/>
      <c r="C21" s="159"/>
      <c r="D21" s="29" t="s">
        <v>1</v>
      </c>
      <c r="E21" s="27" t="s">
        <v>65</v>
      </c>
      <c r="F21" s="141">
        <f>IF(F20=0,,+F20/$D20*100)</f>
        <v>113.04278410190871</v>
      </c>
      <c r="G21" s="142" t="s">
        <v>65</v>
      </c>
      <c r="H21" s="141">
        <f>IF(H20=0,,+H20/$D20*100)</f>
        <v>123.97768381779201</v>
      </c>
      <c r="I21" s="27" t="s">
        <v>65</v>
      </c>
      <c r="J21" s="141">
        <f>IF(J20=0,,+J20/$D20*100)</f>
        <v>156.56901906854665</v>
      </c>
      <c r="K21" s="142" t="s">
        <v>65</v>
      </c>
      <c r="L21" s="177"/>
    </row>
    <row r="22" spans="1:12" x14ac:dyDescent="0.2">
      <c r="D22" s="10"/>
      <c r="E22" s="11"/>
      <c r="F22" s="10"/>
      <c r="G22" s="11"/>
      <c r="H22" s="10"/>
      <c r="I22" s="10"/>
      <c r="J22" s="10"/>
      <c r="K22" s="10"/>
    </row>
    <row r="23" spans="1:12" x14ac:dyDescent="0.2">
      <c r="A23" s="2" t="s">
        <v>142</v>
      </c>
      <c r="D23" s="10"/>
      <c r="E23" s="11"/>
      <c r="F23" s="10"/>
      <c r="G23" s="11"/>
      <c r="H23" s="10"/>
      <c r="I23" s="10"/>
      <c r="J23" s="10"/>
      <c r="K23" s="10"/>
    </row>
    <row r="24" spans="1:12" x14ac:dyDescent="0.2">
      <c r="A24" s="140" t="s">
        <v>25</v>
      </c>
      <c r="B24" s="171" t="s">
        <v>87</v>
      </c>
      <c r="C24" s="171"/>
      <c r="D24" s="172" t="str">
        <f>+D4</f>
        <v>現状</v>
      </c>
      <c r="E24" s="172"/>
      <c r="F24" s="172" t="str">
        <f>+F4</f>
        <v>R4年度</v>
      </c>
      <c r="G24" s="172"/>
      <c r="H24" s="172" t="str">
        <f>+H4</f>
        <v>R5年度</v>
      </c>
      <c r="I24" s="172"/>
      <c r="J24" s="172" t="str">
        <f>+J4</f>
        <v>R6年度</v>
      </c>
      <c r="K24" s="172"/>
      <c r="L24" s="140" t="str">
        <f>+L4</f>
        <v>備考</v>
      </c>
    </row>
    <row r="25" spans="1:12" x14ac:dyDescent="0.2">
      <c r="A25" s="180"/>
      <c r="B25" s="153" t="s">
        <v>26</v>
      </c>
      <c r="C25" s="155" t="s">
        <v>18</v>
      </c>
      <c r="D25" s="6"/>
      <c r="E25" s="12" t="s">
        <v>20</v>
      </c>
      <c r="F25" s="6"/>
      <c r="G25" s="12" t="s">
        <v>20</v>
      </c>
      <c r="H25" s="6"/>
      <c r="I25" s="12" t="s">
        <v>20</v>
      </c>
      <c r="J25" s="6"/>
      <c r="K25" s="12" t="s">
        <v>20</v>
      </c>
      <c r="L25" s="176"/>
    </row>
    <row r="26" spans="1:12" x14ac:dyDescent="0.2">
      <c r="A26" s="174"/>
      <c r="B26" s="153" t="s">
        <v>12</v>
      </c>
      <c r="C26" s="156" t="s">
        <v>19</v>
      </c>
      <c r="D26" s="6"/>
      <c r="E26" s="12" t="s">
        <v>14</v>
      </c>
      <c r="F26" s="6"/>
      <c r="G26" s="12" t="s">
        <v>14</v>
      </c>
      <c r="H26" s="6"/>
      <c r="I26" s="12" t="s">
        <v>14</v>
      </c>
      <c r="J26" s="6"/>
      <c r="K26" s="12" t="s">
        <v>14</v>
      </c>
      <c r="L26" s="178"/>
    </row>
    <row r="27" spans="1:12" x14ac:dyDescent="0.2">
      <c r="A27" s="175"/>
      <c r="B27" s="154" t="s">
        <v>15</v>
      </c>
      <c r="C27" s="157" t="s">
        <v>27</v>
      </c>
      <c r="D27" s="8">
        <f>+D25*D26</f>
        <v>0</v>
      </c>
      <c r="E27" s="13" t="s">
        <v>17</v>
      </c>
      <c r="F27" s="8">
        <f t="shared" ref="F27" si="6">+F25*F26</f>
        <v>0</v>
      </c>
      <c r="G27" s="13" t="s">
        <v>17</v>
      </c>
      <c r="H27" s="8">
        <f t="shared" ref="H27" si="7">+H25*H26</f>
        <v>0</v>
      </c>
      <c r="I27" s="13" t="s">
        <v>17</v>
      </c>
      <c r="J27" s="8">
        <f t="shared" ref="J27" si="8">+J25*J26</f>
        <v>0</v>
      </c>
      <c r="K27" s="13" t="s">
        <v>17</v>
      </c>
      <c r="L27" s="177"/>
    </row>
    <row r="28" spans="1:12" x14ac:dyDescent="0.2">
      <c r="A28" s="174"/>
      <c r="B28" s="153" t="s">
        <v>26</v>
      </c>
      <c r="C28" s="156" t="s">
        <v>18</v>
      </c>
      <c r="D28" s="6"/>
      <c r="E28" s="12" t="s">
        <v>20</v>
      </c>
      <c r="F28" s="6"/>
      <c r="G28" s="12" t="s">
        <v>20</v>
      </c>
      <c r="H28" s="6"/>
      <c r="I28" s="12" t="s">
        <v>20</v>
      </c>
      <c r="J28" s="6"/>
      <c r="K28" s="12" t="s">
        <v>20</v>
      </c>
      <c r="L28" s="176"/>
    </row>
    <row r="29" spans="1:12" x14ac:dyDescent="0.2">
      <c r="A29" s="174"/>
      <c r="B29" s="153" t="s">
        <v>12</v>
      </c>
      <c r="C29" s="156" t="s">
        <v>19</v>
      </c>
      <c r="D29" s="6"/>
      <c r="E29" s="12" t="s">
        <v>14</v>
      </c>
      <c r="F29" s="6"/>
      <c r="G29" s="12" t="s">
        <v>14</v>
      </c>
      <c r="H29" s="6"/>
      <c r="I29" s="12" t="s">
        <v>14</v>
      </c>
      <c r="J29" s="6"/>
      <c r="K29" s="12" t="s">
        <v>14</v>
      </c>
      <c r="L29" s="178"/>
    </row>
    <row r="30" spans="1:12" x14ac:dyDescent="0.2">
      <c r="A30" s="175"/>
      <c r="B30" s="154" t="s">
        <v>15</v>
      </c>
      <c r="C30" s="157" t="s">
        <v>27</v>
      </c>
      <c r="D30" s="8">
        <f>+D28*D29</f>
        <v>0</v>
      </c>
      <c r="E30" s="13" t="s">
        <v>17</v>
      </c>
      <c r="F30" s="8">
        <f t="shared" ref="F30" si="9">+F28*F29</f>
        <v>0</v>
      </c>
      <c r="G30" s="13" t="s">
        <v>17</v>
      </c>
      <c r="H30" s="8">
        <f t="shared" ref="H30" si="10">+H28*H29</f>
        <v>0</v>
      </c>
      <c r="I30" s="13" t="s">
        <v>17</v>
      </c>
      <c r="J30" s="8">
        <f t="shared" ref="J30" si="11">+J28*J29</f>
        <v>0</v>
      </c>
      <c r="K30" s="13" t="s">
        <v>17</v>
      </c>
      <c r="L30" s="177"/>
    </row>
    <row r="31" spans="1:12" x14ac:dyDescent="0.2">
      <c r="A31" s="174"/>
      <c r="B31" s="153" t="s">
        <v>26</v>
      </c>
      <c r="C31" s="156" t="s">
        <v>18</v>
      </c>
      <c r="D31" s="6"/>
      <c r="E31" s="12" t="s">
        <v>20</v>
      </c>
      <c r="F31" s="6"/>
      <c r="G31" s="12" t="s">
        <v>20</v>
      </c>
      <c r="H31" s="6"/>
      <c r="I31" s="12" t="s">
        <v>20</v>
      </c>
      <c r="J31" s="6"/>
      <c r="K31" s="12" t="s">
        <v>20</v>
      </c>
      <c r="L31" s="176"/>
    </row>
    <row r="32" spans="1:12" x14ac:dyDescent="0.2">
      <c r="A32" s="174"/>
      <c r="B32" s="153" t="s">
        <v>12</v>
      </c>
      <c r="C32" s="156" t="s">
        <v>19</v>
      </c>
      <c r="D32" s="6"/>
      <c r="E32" s="12" t="s">
        <v>14</v>
      </c>
      <c r="F32" s="6"/>
      <c r="G32" s="12" t="s">
        <v>14</v>
      </c>
      <c r="H32" s="6"/>
      <c r="I32" s="12" t="s">
        <v>14</v>
      </c>
      <c r="J32" s="6"/>
      <c r="K32" s="12" t="s">
        <v>14</v>
      </c>
      <c r="L32" s="178"/>
    </row>
    <row r="33" spans="1:12" x14ac:dyDescent="0.2">
      <c r="A33" s="175"/>
      <c r="B33" s="154" t="s">
        <v>15</v>
      </c>
      <c r="C33" s="157" t="s">
        <v>27</v>
      </c>
      <c r="D33" s="8">
        <f>+D31*D32</f>
        <v>0</v>
      </c>
      <c r="E33" s="13" t="s">
        <v>17</v>
      </c>
      <c r="F33" s="8">
        <f t="shared" ref="F33" si="12">+F31*F32</f>
        <v>0</v>
      </c>
      <c r="G33" s="13" t="s">
        <v>17</v>
      </c>
      <c r="H33" s="8">
        <f t="shared" ref="H33" si="13">+H31*H32</f>
        <v>0</v>
      </c>
      <c r="I33" s="13" t="s">
        <v>17</v>
      </c>
      <c r="J33" s="8">
        <f t="shared" ref="J33" si="14">+J31*J32</f>
        <v>0</v>
      </c>
      <c r="K33" s="13" t="s">
        <v>17</v>
      </c>
      <c r="L33" s="177"/>
    </row>
    <row r="34" spans="1:12" x14ac:dyDescent="0.2">
      <c r="A34" s="169" t="s">
        <v>23</v>
      </c>
      <c r="B34" s="170"/>
      <c r="C34" s="158" t="s">
        <v>28</v>
      </c>
      <c r="D34" s="144">
        <f>+D27+D30+D33</f>
        <v>0</v>
      </c>
      <c r="E34" s="146" t="s">
        <v>17</v>
      </c>
      <c r="F34" s="144">
        <f>+F27+F30+F33</f>
        <v>0</v>
      </c>
      <c r="G34" s="146" t="s">
        <v>17</v>
      </c>
      <c r="H34" s="144">
        <f>+H27+H30+H33</f>
        <v>0</v>
      </c>
      <c r="I34" s="146" t="s">
        <v>17</v>
      </c>
      <c r="J34" s="144">
        <f>+J27+J30+J33</f>
        <v>0</v>
      </c>
      <c r="K34" s="146" t="s">
        <v>17</v>
      </c>
      <c r="L34" s="176"/>
    </row>
    <row r="35" spans="1:12" x14ac:dyDescent="0.2">
      <c r="A35" s="167" t="s">
        <v>67</v>
      </c>
      <c r="B35" s="168"/>
      <c r="C35" s="159"/>
      <c r="D35" s="29" t="s">
        <v>1</v>
      </c>
      <c r="E35" s="27" t="s">
        <v>65</v>
      </c>
      <c r="F35" s="141">
        <f>IF(F34=0,,+F34/$D34*100)</f>
        <v>0</v>
      </c>
      <c r="G35" s="142" t="s">
        <v>65</v>
      </c>
      <c r="H35" s="141">
        <f>IF(H34=0,,+H34/$D34*100)</f>
        <v>0</v>
      </c>
      <c r="I35" s="27" t="s">
        <v>65</v>
      </c>
      <c r="J35" s="141">
        <f>IF(J34=0,,+J34/$D34*100)</f>
        <v>0</v>
      </c>
      <c r="K35" s="142" t="s">
        <v>65</v>
      </c>
      <c r="L35" s="177"/>
    </row>
    <row r="36" spans="1:12" x14ac:dyDescent="0.2">
      <c r="A36" s="14"/>
      <c r="B36" s="14"/>
      <c r="C36" s="14"/>
      <c r="D36" s="15"/>
      <c r="E36" s="16"/>
      <c r="F36" s="15"/>
      <c r="G36" s="16"/>
      <c r="H36" s="15"/>
      <c r="I36" s="16"/>
      <c r="J36" s="15"/>
      <c r="K36" s="16"/>
    </row>
    <row r="37" spans="1:12" x14ac:dyDescent="0.2">
      <c r="A37" s="2" t="s">
        <v>29</v>
      </c>
      <c r="G37" s="3"/>
    </row>
    <row r="38" spans="1:12" x14ac:dyDescent="0.2">
      <c r="A38" s="139"/>
      <c r="B38" s="143"/>
      <c r="C38" s="151"/>
      <c r="D38" s="172" t="str">
        <f>+D24</f>
        <v>現状</v>
      </c>
      <c r="E38" s="172"/>
      <c r="F38" s="172" t="str">
        <f t="shared" ref="F38" si="15">+F24</f>
        <v>R4年度</v>
      </c>
      <c r="G38" s="172"/>
      <c r="H38" s="172" t="str">
        <f t="shared" ref="H38" si="16">+H24</f>
        <v>R5年度</v>
      </c>
      <c r="I38" s="172"/>
      <c r="J38" s="172" t="str">
        <f t="shared" ref="J38" si="17">+J24</f>
        <v>R6年度</v>
      </c>
      <c r="K38" s="172"/>
      <c r="L38" s="140" t="str">
        <f>+L24</f>
        <v>備考</v>
      </c>
    </row>
    <row r="39" spans="1:12" x14ac:dyDescent="0.2">
      <c r="A39" s="169" t="s">
        <v>23</v>
      </c>
      <c r="B39" s="170"/>
      <c r="C39" s="158" t="s">
        <v>30</v>
      </c>
      <c r="D39" s="147">
        <f>D20+D34</f>
        <v>15558396</v>
      </c>
      <c r="E39" s="148" t="s">
        <v>17</v>
      </c>
      <c r="F39" s="147">
        <f>F20+F34</f>
        <v>17587644</v>
      </c>
      <c r="G39" s="149" t="s">
        <v>17</v>
      </c>
      <c r="H39" s="150">
        <f>H20+H34</f>
        <v>19288939</v>
      </c>
      <c r="I39" s="148" t="s">
        <v>17</v>
      </c>
      <c r="J39" s="147">
        <f>J20+J34</f>
        <v>24359628</v>
      </c>
      <c r="K39" s="149" t="s">
        <v>17</v>
      </c>
      <c r="L39" s="176"/>
    </row>
    <row r="40" spans="1:12" x14ac:dyDescent="0.2">
      <c r="A40" s="167" t="s">
        <v>67</v>
      </c>
      <c r="B40" s="168"/>
      <c r="C40" s="159"/>
      <c r="D40" s="29" t="s">
        <v>66</v>
      </c>
      <c r="E40" s="27" t="s">
        <v>65</v>
      </c>
      <c r="F40" s="141">
        <f>IF(F39=0,,+F39/$D39*100)</f>
        <v>113.04278410190871</v>
      </c>
      <c r="G40" s="142" t="s">
        <v>65</v>
      </c>
      <c r="H40" s="141">
        <f>IF(H39=0,,+H39/$D39*100)</f>
        <v>123.97768381779201</v>
      </c>
      <c r="I40" s="27" t="s">
        <v>65</v>
      </c>
      <c r="J40" s="141">
        <f>IF(J39=0,,+J39/$D39*100)</f>
        <v>156.56901906854665</v>
      </c>
      <c r="K40" s="142" t="s">
        <v>65</v>
      </c>
      <c r="L40" s="177"/>
    </row>
    <row r="41" spans="1:12" x14ac:dyDescent="0.2">
      <c r="A41" s="128"/>
    </row>
    <row r="42" spans="1:12" x14ac:dyDescent="0.2">
      <c r="A42" s="128"/>
    </row>
  </sheetData>
  <mergeCells count="36">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 ref="L39:L40"/>
    <mergeCell ref="H4:I4"/>
    <mergeCell ref="H24:I24"/>
    <mergeCell ref="L31:L33"/>
    <mergeCell ref="H38:I38"/>
    <mergeCell ref="J38:K38"/>
    <mergeCell ref="L34:L35"/>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s>
  <phoneticPr fontId="1"/>
  <pageMargins left="0.59055118110236227" right="0.19685039370078741"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75" zoomScaleNormal="100" zoomScaleSheetLayoutView="75" workbookViewId="0">
      <pane xSplit="3" ySplit="5" topLeftCell="D6" activePane="bottomRight" state="frozen"/>
      <selection pane="topRight" activeCell="D1" sqref="D1"/>
      <selection pane="bottomLeft" activeCell="A6" sqref="A6"/>
      <selection pane="bottomRight" activeCell="J5" sqref="J5"/>
    </sheetView>
  </sheetViews>
  <sheetFormatPr defaultColWidth="9" defaultRowHeight="13" x14ac:dyDescent="0.2"/>
  <cols>
    <col min="1" max="1" width="3.90625" style="2" customWidth="1"/>
    <col min="2" max="2" width="17.08984375" style="2" bestFit="1" customWidth="1"/>
    <col min="3" max="3" width="29" style="2" customWidth="1"/>
    <col min="4" max="4" width="13.26953125" style="2" bestFit="1" customWidth="1"/>
    <col min="5" max="5" width="55.6328125" style="2" customWidth="1"/>
    <col min="6" max="6" width="13.26953125" style="2" bestFit="1" customWidth="1"/>
    <col min="7" max="7" width="55.6328125" style="2" customWidth="1"/>
    <col min="8" max="8" width="12.08984375" style="2" bestFit="1" customWidth="1"/>
    <col min="9" max="9" width="60.6328125" style="2" customWidth="1"/>
    <col min="10" max="10" width="12.08984375" style="2" bestFit="1" customWidth="1"/>
    <col min="11" max="11" width="60.6328125" style="2" customWidth="1"/>
    <col min="12" max="12" width="5" style="2" customWidth="1"/>
    <col min="13" max="16384" width="9" style="2"/>
  </cols>
  <sheetData>
    <row r="1" spans="2:11" ht="19" x14ac:dyDescent="0.2">
      <c r="B1" s="38" t="s">
        <v>135</v>
      </c>
      <c r="C1" s="38"/>
      <c r="D1" s="38"/>
      <c r="E1" s="38"/>
      <c r="F1" s="38"/>
      <c r="G1" s="38"/>
      <c r="H1" s="38"/>
      <c r="I1" s="38"/>
      <c r="J1" s="38"/>
      <c r="K1" s="38"/>
    </row>
    <row r="3" spans="2:11" ht="19.5" customHeight="1" x14ac:dyDescent="0.2">
      <c r="B3" s="17" t="s">
        <v>31</v>
      </c>
    </row>
    <row r="4" spans="2:11" ht="21" customHeight="1" x14ac:dyDescent="0.2">
      <c r="B4" s="173" t="s">
        <v>32</v>
      </c>
      <c r="C4" s="173" t="s">
        <v>33</v>
      </c>
      <c r="D4" s="181" t="s">
        <v>200</v>
      </c>
      <c r="E4" s="182"/>
      <c r="F4" s="181" t="s">
        <v>199</v>
      </c>
      <c r="G4" s="182"/>
      <c r="H4" s="181" t="s">
        <v>201</v>
      </c>
      <c r="I4" s="182"/>
      <c r="J4" s="181" t="s">
        <v>202</v>
      </c>
      <c r="K4" s="182"/>
    </row>
    <row r="5" spans="2:11" ht="21" customHeight="1" x14ac:dyDescent="0.2">
      <c r="B5" s="175"/>
      <c r="C5" s="175"/>
      <c r="D5" s="35" t="s">
        <v>34</v>
      </c>
      <c r="E5" s="35" t="s">
        <v>35</v>
      </c>
      <c r="F5" s="35" t="s">
        <v>34</v>
      </c>
      <c r="G5" s="35" t="s">
        <v>35</v>
      </c>
      <c r="H5" s="35" t="s">
        <v>34</v>
      </c>
      <c r="I5" s="35" t="s">
        <v>35</v>
      </c>
      <c r="J5" s="35" t="s">
        <v>34</v>
      </c>
      <c r="K5" s="35" t="s">
        <v>35</v>
      </c>
    </row>
    <row r="6" spans="2:11" ht="45" customHeight="1" x14ac:dyDescent="0.2">
      <c r="B6" s="125" t="s">
        <v>141</v>
      </c>
      <c r="C6" s="41" t="s">
        <v>143</v>
      </c>
      <c r="D6" s="20">
        <v>15558396</v>
      </c>
      <c r="E6" s="131" t="s">
        <v>100</v>
      </c>
      <c r="F6" s="21"/>
      <c r="G6" s="131"/>
      <c r="H6" s="21"/>
      <c r="I6" s="131"/>
      <c r="J6" s="21"/>
      <c r="K6" s="131"/>
    </row>
    <row r="7" spans="2:11" ht="45" customHeight="1" x14ac:dyDescent="0.2">
      <c r="B7" s="122" t="s">
        <v>144</v>
      </c>
      <c r="C7" s="47" t="s">
        <v>156</v>
      </c>
      <c r="D7" s="46">
        <f>180000+2160</f>
        <v>182160</v>
      </c>
      <c r="E7" s="50" t="s">
        <v>145</v>
      </c>
      <c r="F7" s="48"/>
      <c r="G7" s="50"/>
      <c r="H7" s="48"/>
      <c r="I7" s="50"/>
      <c r="J7" s="48"/>
      <c r="K7" s="50"/>
    </row>
    <row r="8" spans="2:11" ht="45" customHeight="1" x14ac:dyDescent="0.2">
      <c r="B8" s="45" t="s">
        <v>140</v>
      </c>
      <c r="C8" s="47" t="s">
        <v>176</v>
      </c>
      <c r="D8" s="46">
        <f>1500000+112625</f>
        <v>1612625</v>
      </c>
      <c r="E8" s="50" t="s">
        <v>190</v>
      </c>
      <c r="F8" s="48"/>
      <c r="G8" s="50"/>
      <c r="H8" s="48"/>
      <c r="I8" s="50"/>
      <c r="J8" s="48"/>
      <c r="K8" s="50"/>
    </row>
    <row r="9" spans="2:11" ht="45" customHeight="1" x14ac:dyDescent="0.2">
      <c r="B9" s="22" t="s">
        <v>164</v>
      </c>
      <c r="C9" s="43" t="s">
        <v>157</v>
      </c>
      <c r="D9" s="42">
        <v>0</v>
      </c>
      <c r="E9" s="49"/>
      <c r="F9" s="44"/>
      <c r="G9" s="49"/>
      <c r="H9" s="44"/>
      <c r="I9" s="49"/>
      <c r="J9" s="44"/>
      <c r="K9" s="49"/>
    </row>
    <row r="10" spans="2:11" ht="45" customHeight="1" x14ac:dyDescent="0.2">
      <c r="B10" s="183" t="s">
        <v>36</v>
      </c>
      <c r="C10" s="184"/>
      <c r="D10" s="18">
        <f>SUM(D6:D9)</f>
        <v>17353181</v>
      </c>
      <c r="E10" s="130"/>
      <c r="F10" s="19">
        <f>SUM(F6:F9)</f>
        <v>0</v>
      </c>
      <c r="G10" s="130"/>
      <c r="H10" s="19">
        <f>SUM(H6:H9)</f>
        <v>0</v>
      </c>
      <c r="I10" s="130"/>
      <c r="J10" s="19">
        <f>SUM(J6:J9)</f>
        <v>0</v>
      </c>
      <c r="K10" s="130"/>
    </row>
    <row r="12" spans="2:11" ht="19.5" customHeight="1" x14ac:dyDescent="0.2">
      <c r="B12" s="17" t="s">
        <v>37</v>
      </c>
    </row>
    <row r="13" spans="2:11" ht="21" customHeight="1" x14ac:dyDescent="0.2">
      <c r="B13" s="173" t="s">
        <v>38</v>
      </c>
      <c r="C13" s="173" t="s">
        <v>39</v>
      </c>
      <c r="D13" s="181" t="str">
        <f>+D4</f>
        <v>現状（R3年度）</v>
      </c>
      <c r="E13" s="182"/>
      <c r="F13" s="181" t="str">
        <f>+F4</f>
        <v>１年度目（R4年度）</v>
      </c>
      <c r="G13" s="182"/>
      <c r="H13" s="181" t="str">
        <f>+H4</f>
        <v>２年度目（R5年度）</v>
      </c>
      <c r="I13" s="182"/>
      <c r="J13" s="181" t="str">
        <f>+J4</f>
        <v>目標年度（R6年度）</v>
      </c>
      <c r="K13" s="182"/>
    </row>
    <row r="14" spans="2:11" ht="21" customHeight="1" x14ac:dyDescent="0.2">
      <c r="B14" s="175"/>
      <c r="C14" s="175"/>
      <c r="D14" s="4" t="s">
        <v>34</v>
      </c>
      <c r="E14" s="4" t="s">
        <v>35</v>
      </c>
      <c r="F14" s="4" t="s">
        <v>34</v>
      </c>
      <c r="G14" s="4" t="s">
        <v>35</v>
      </c>
      <c r="H14" s="4" t="s">
        <v>34</v>
      </c>
      <c r="I14" s="4" t="s">
        <v>35</v>
      </c>
      <c r="J14" s="4" t="s">
        <v>34</v>
      </c>
      <c r="K14" s="4" t="s">
        <v>35</v>
      </c>
    </row>
    <row r="15" spans="2:11" ht="40" customHeight="1" x14ac:dyDescent="0.2">
      <c r="B15" s="125" t="s">
        <v>136</v>
      </c>
      <c r="C15" s="125" t="s">
        <v>138</v>
      </c>
      <c r="D15" s="126"/>
      <c r="E15" s="127" t="s">
        <v>175</v>
      </c>
      <c r="F15" s="126"/>
      <c r="G15" s="127"/>
      <c r="H15" s="126"/>
      <c r="I15" s="127"/>
      <c r="J15" s="126"/>
      <c r="K15" s="127"/>
    </row>
    <row r="16" spans="2:11" ht="45" customHeight="1" x14ac:dyDescent="0.2">
      <c r="B16" s="122" t="s">
        <v>74</v>
      </c>
      <c r="C16" s="122" t="s">
        <v>139</v>
      </c>
      <c r="D16" s="123">
        <v>1590200</v>
      </c>
      <c r="E16" s="124" t="s">
        <v>170</v>
      </c>
      <c r="F16" s="123"/>
      <c r="G16" s="124"/>
      <c r="H16" s="123"/>
      <c r="I16" s="124"/>
      <c r="J16" s="123"/>
      <c r="K16" s="124"/>
    </row>
    <row r="17" spans="2:11" ht="112.5" customHeight="1" x14ac:dyDescent="0.2">
      <c r="B17" s="47" t="s">
        <v>77</v>
      </c>
      <c r="C17" s="47" t="s">
        <v>72</v>
      </c>
      <c r="D17" s="46">
        <f>763359+180000+1515588+291200+1260075+264800+343440+775200</f>
        <v>5393662</v>
      </c>
      <c r="E17" s="50" t="s">
        <v>128</v>
      </c>
      <c r="F17" s="46"/>
      <c r="G17" s="50"/>
      <c r="H17" s="46"/>
      <c r="I17" s="50"/>
      <c r="J17" s="46"/>
      <c r="K17" s="50"/>
    </row>
    <row r="18" spans="2:11" ht="45" customHeight="1" x14ac:dyDescent="0.2">
      <c r="B18" s="47" t="s">
        <v>150</v>
      </c>
      <c r="C18" s="47" t="s">
        <v>148</v>
      </c>
      <c r="D18" s="46">
        <f>694693+1022688</f>
        <v>1717381</v>
      </c>
      <c r="E18" s="50" t="s">
        <v>149</v>
      </c>
      <c r="F18" s="46"/>
      <c r="G18" s="50"/>
      <c r="H18" s="46"/>
      <c r="I18" s="50"/>
      <c r="J18" s="46"/>
      <c r="K18" s="50"/>
    </row>
    <row r="19" spans="2:11" ht="45" customHeight="1" x14ac:dyDescent="0.2">
      <c r="B19" s="47" t="s">
        <v>71</v>
      </c>
      <c r="C19" s="47" t="s">
        <v>125</v>
      </c>
      <c r="D19" s="46">
        <v>1177702</v>
      </c>
      <c r="E19" s="50" t="s">
        <v>126</v>
      </c>
      <c r="F19" s="46"/>
      <c r="G19" s="50"/>
      <c r="H19" s="46"/>
      <c r="I19" s="50"/>
      <c r="J19" s="46"/>
      <c r="K19" s="50"/>
    </row>
    <row r="20" spans="2:11" ht="45" customHeight="1" x14ac:dyDescent="0.2">
      <c r="B20" s="47" t="s">
        <v>146</v>
      </c>
      <c r="C20" s="47" t="s">
        <v>147</v>
      </c>
      <c r="D20" s="46">
        <v>41960</v>
      </c>
      <c r="E20" s="50" t="s">
        <v>151</v>
      </c>
      <c r="F20" s="46"/>
      <c r="G20" s="50"/>
      <c r="H20" s="46"/>
      <c r="I20" s="50"/>
      <c r="J20" s="46"/>
      <c r="K20" s="50"/>
    </row>
    <row r="21" spans="2:11" ht="45" customHeight="1" x14ac:dyDescent="0.2">
      <c r="B21" s="47" t="s">
        <v>55</v>
      </c>
      <c r="C21" s="47" t="s">
        <v>81</v>
      </c>
      <c r="D21" s="46">
        <v>663050</v>
      </c>
      <c r="E21" s="50" t="s">
        <v>161</v>
      </c>
      <c r="F21" s="46"/>
      <c r="G21" s="50"/>
      <c r="H21" s="46"/>
      <c r="I21" s="50"/>
      <c r="J21" s="46"/>
      <c r="K21" s="50"/>
    </row>
    <row r="22" spans="2:11" ht="45" customHeight="1" x14ac:dyDescent="0.2">
      <c r="B22" s="47" t="s">
        <v>40</v>
      </c>
      <c r="C22" s="47" t="s">
        <v>82</v>
      </c>
      <c r="D22" s="46">
        <v>2157620</v>
      </c>
      <c r="E22" s="50" t="s">
        <v>196</v>
      </c>
      <c r="F22" s="46"/>
      <c r="G22" s="50"/>
      <c r="H22" s="46"/>
      <c r="I22" s="50"/>
      <c r="J22" s="46"/>
      <c r="K22" s="50"/>
    </row>
    <row r="23" spans="2:11" ht="45" customHeight="1" x14ac:dyDescent="0.2">
      <c r="B23" s="47" t="s">
        <v>137</v>
      </c>
      <c r="C23" s="47" t="s">
        <v>79</v>
      </c>
      <c r="D23" s="46">
        <f>184736+352358</f>
        <v>537094</v>
      </c>
      <c r="E23" s="50" t="s">
        <v>119</v>
      </c>
      <c r="F23" s="46"/>
      <c r="G23" s="50"/>
      <c r="H23" s="46"/>
      <c r="I23" s="50"/>
      <c r="J23" s="46"/>
      <c r="K23" s="50"/>
    </row>
    <row r="24" spans="2:11" ht="45" customHeight="1" x14ac:dyDescent="0.2">
      <c r="B24" s="47" t="s">
        <v>69</v>
      </c>
      <c r="C24" s="47" t="s">
        <v>78</v>
      </c>
      <c r="D24" s="46">
        <f>193650+10200</f>
        <v>203850</v>
      </c>
      <c r="E24" s="50" t="s">
        <v>121</v>
      </c>
      <c r="F24" s="46"/>
      <c r="G24" s="50"/>
      <c r="H24" s="46"/>
      <c r="I24" s="50"/>
      <c r="J24" s="46"/>
      <c r="K24" s="50"/>
    </row>
    <row r="25" spans="2:11" ht="45" customHeight="1" x14ac:dyDescent="0.2">
      <c r="B25" s="47" t="s">
        <v>73</v>
      </c>
      <c r="C25" s="47" t="s">
        <v>86</v>
      </c>
      <c r="D25" s="46">
        <f>2011500+50000</f>
        <v>2061500</v>
      </c>
      <c r="E25" s="50" t="s">
        <v>129</v>
      </c>
      <c r="F25" s="46"/>
      <c r="G25" s="50"/>
      <c r="H25" s="46"/>
      <c r="I25" s="50"/>
      <c r="J25" s="46"/>
      <c r="K25" s="50"/>
    </row>
    <row r="26" spans="2:11" ht="45" customHeight="1" x14ac:dyDescent="0.2">
      <c r="B26" s="47" t="s">
        <v>80</v>
      </c>
      <c r="C26" s="47" t="s">
        <v>83</v>
      </c>
      <c r="D26" s="46">
        <f>15000*18</f>
        <v>270000</v>
      </c>
      <c r="E26" s="50" t="s">
        <v>132</v>
      </c>
      <c r="F26" s="46"/>
      <c r="G26" s="50"/>
      <c r="H26" s="46"/>
      <c r="I26" s="50"/>
      <c r="J26" s="46"/>
      <c r="K26" s="50"/>
    </row>
    <row r="27" spans="2:11" ht="45" customHeight="1" x14ac:dyDescent="0.2">
      <c r="B27" s="47" t="s">
        <v>75</v>
      </c>
      <c r="C27" s="47" t="s">
        <v>85</v>
      </c>
      <c r="D27" s="46">
        <f>99000+69720+501984</f>
        <v>670704</v>
      </c>
      <c r="E27" s="50" t="s">
        <v>117</v>
      </c>
      <c r="F27" s="46"/>
      <c r="G27" s="50"/>
      <c r="H27" s="46"/>
      <c r="I27" s="50"/>
      <c r="J27" s="46"/>
      <c r="K27" s="50"/>
    </row>
    <row r="28" spans="2:11" ht="45" customHeight="1" x14ac:dyDescent="0.2">
      <c r="B28" s="47" t="s">
        <v>76</v>
      </c>
      <c r="C28" s="47" t="s">
        <v>84</v>
      </c>
      <c r="D28" s="46">
        <v>26400</v>
      </c>
      <c r="E28" s="50" t="s">
        <v>120</v>
      </c>
      <c r="F28" s="46"/>
      <c r="G28" s="50"/>
      <c r="H28" s="46"/>
      <c r="I28" s="50"/>
      <c r="J28" s="46"/>
      <c r="K28" s="50"/>
    </row>
    <row r="29" spans="2:11" ht="45" customHeight="1" x14ac:dyDescent="0.2">
      <c r="B29" s="47" t="s">
        <v>152</v>
      </c>
      <c r="C29" s="47" t="s">
        <v>158</v>
      </c>
      <c r="D29" s="46">
        <f>28256+20000+50000</f>
        <v>98256</v>
      </c>
      <c r="E29" s="50" t="s">
        <v>159</v>
      </c>
      <c r="F29" s="46"/>
      <c r="G29" s="50"/>
      <c r="H29" s="46"/>
      <c r="I29" s="50"/>
      <c r="J29" s="46"/>
      <c r="K29" s="50"/>
    </row>
    <row r="30" spans="2:11" ht="45" customHeight="1" x14ac:dyDescent="0.2">
      <c r="B30" s="43" t="s">
        <v>163</v>
      </c>
      <c r="C30" s="43" t="s">
        <v>157</v>
      </c>
      <c r="D30" s="42">
        <v>0</v>
      </c>
      <c r="E30" s="50"/>
      <c r="F30" s="42"/>
      <c r="G30" s="50"/>
      <c r="H30" s="42"/>
      <c r="I30" s="50"/>
      <c r="J30" s="42"/>
      <c r="K30" s="50"/>
    </row>
    <row r="31" spans="2:11" ht="45" customHeight="1" x14ac:dyDescent="0.2">
      <c r="B31" s="183" t="s">
        <v>154</v>
      </c>
      <c r="C31" s="184"/>
      <c r="D31" s="19">
        <f>SUM(D15:D30)</f>
        <v>16609379</v>
      </c>
      <c r="E31" s="130"/>
      <c r="F31" s="19">
        <f>SUM(F15:F30)</f>
        <v>0</v>
      </c>
      <c r="G31" s="130"/>
      <c r="H31" s="19">
        <f>SUM(H15:H30)</f>
        <v>0</v>
      </c>
      <c r="I31" s="130"/>
      <c r="J31" s="19">
        <f>SUM(J15:J30)</f>
        <v>0</v>
      </c>
      <c r="K31" s="130"/>
    </row>
    <row r="32" spans="2:11" x14ac:dyDescent="0.2">
      <c r="B32" s="23"/>
      <c r="C32" s="23"/>
      <c r="D32" s="24"/>
      <c r="E32" s="23"/>
      <c r="F32" s="25"/>
      <c r="G32" s="23"/>
      <c r="H32" s="25"/>
      <c r="I32" s="23"/>
      <c r="J32" s="25"/>
      <c r="K32" s="23"/>
    </row>
    <row r="33" spans="2:11" ht="19.5" customHeight="1" x14ac:dyDescent="0.2">
      <c r="B33" s="26" t="s">
        <v>88</v>
      </c>
      <c r="C33" s="27"/>
      <c r="D33" s="28"/>
      <c r="E33" s="27"/>
      <c r="F33" s="29"/>
      <c r="G33" s="27"/>
      <c r="H33" s="29"/>
      <c r="I33" s="27"/>
      <c r="J33" s="29"/>
      <c r="K33" s="27"/>
    </row>
    <row r="34" spans="2:11" ht="45" customHeight="1" x14ac:dyDescent="0.2">
      <c r="B34" s="183" t="s">
        <v>155</v>
      </c>
      <c r="C34" s="184"/>
      <c r="D34" s="18">
        <f>D10-D31</f>
        <v>743802</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zoomScaleNormal="100" zoomScaleSheetLayoutView="100" workbookViewId="0">
      <selection activeCell="I9" sqref="I9"/>
    </sheetView>
  </sheetViews>
  <sheetFormatPr defaultRowHeight="13" x14ac:dyDescent="0.2"/>
  <cols>
    <col min="1" max="1" width="5.36328125" customWidth="1"/>
    <col min="2" max="2" width="2.6328125" customWidth="1"/>
    <col min="3" max="3" width="8.6328125" customWidth="1"/>
    <col min="4" max="4" width="12.6328125" customWidth="1"/>
    <col min="5" max="5" width="6.6328125" customWidth="1"/>
    <col min="6" max="10" width="10.6328125" customWidth="1"/>
    <col min="11" max="11" width="29.453125" customWidth="1"/>
    <col min="12" max="12" width="9.26953125" bestFit="1" customWidth="1"/>
  </cols>
  <sheetData>
    <row r="1" spans="1:15" x14ac:dyDescent="0.2">
      <c r="A1" t="s">
        <v>197</v>
      </c>
    </row>
    <row r="2" spans="1:15" ht="18" customHeight="1" x14ac:dyDescent="0.2">
      <c r="A2" s="30" t="s">
        <v>92</v>
      </c>
      <c r="B2" s="31"/>
      <c r="C2" s="31"/>
      <c r="D2" s="31"/>
      <c r="E2" s="32"/>
      <c r="N2" s="33"/>
    </row>
    <row r="3" spans="1:15" ht="13.5" thickBot="1" x14ac:dyDescent="0.25">
      <c r="E3" s="39"/>
    </row>
    <row r="4" spans="1:15" ht="18" customHeight="1" thickBot="1" x14ac:dyDescent="0.25">
      <c r="A4" s="194" t="s">
        <v>178</v>
      </c>
      <c r="B4" s="195"/>
      <c r="C4" s="196"/>
      <c r="D4" s="214" t="s">
        <v>102</v>
      </c>
      <c r="E4" s="215"/>
      <c r="F4" s="215"/>
      <c r="G4" s="215"/>
      <c r="H4" s="163" t="s">
        <v>103</v>
      </c>
      <c r="I4" s="216" t="s">
        <v>4</v>
      </c>
      <c r="J4" s="217"/>
      <c r="K4" s="161"/>
      <c r="N4" s="33"/>
    </row>
    <row r="5" spans="1:15" ht="18" customHeight="1" thickBot="1" x14ac:dyDescent="0.25">
      <c r="A5" s="209" t="s">
        <v>177</v>
      </c>
      <c r="B5" s="210"/>
      <c r="C5" s="211"/>
      <c r="D5" s="211" t="s">
        <v>179</v>
      </c>
      <c r="E5" s="212"/>
      <c r="F5" s="212"/>
      <c r="G5" s="212"/>
      <c r="H5" s="212"/>
      <c r="I5" s="212"/>
      <c r="J5" s="213"/>
      <c r="K5" s="162"/>
      <c r="N5" s="33"/>
    </row>
    <row r="6" spans="1:15" ht="10" customHeight="1" thickBot="1" x14ac:dyDescent="0.25">
      <c r="E6" s="40"/>
    </row>
    <row r="7" spans="1:15" x14ac:dyDescent="0.2">
      <c r="A7" s="73"/>
      <c r="B7" s="74"/>
      <c r="C7" s="74"/>
      <c r="D7" s="74"/>
      <c r="E7" s="75"/>
      <c r="F7" s="55" t="s">
        <v>41</v>
      </c>
      <c r="G7" s="55" t="s">
        <v>42</v>
      </c>
      <c r="H7" s="55" t="s">
        <v>43</v>
      </c>
      <c r="I7" s="55" t="s">
        <v>68</v>
      </c>
      <c r="J7" s="55" t="s">
        <v>99</v>
      </c>
      <c r="K7" s="200" t="s">
        <v>101</v>
      </c>
    </row>
    <row r="8" spans="1:15" x14ac:dyDescent="0.2">
      <c r="A8" s="76"/>
      <c r="B8" s="51"/>
      <c r="C8" s="51"/>
      <c r="D8" s="51"/>
      <c r="E8" s="77"/>
      <c r="F8" s="52" t="s">
        <v>180</v>
      </c>
      <c r="G8" s="52" t="s">
        <v>182</v>
      </c>
      <c r="H8" s="52" t="s">
        <v>192</v>
      </c>
      <c r="I8" s="52" t="s">
        <v>203</v>
      </c>
      <c r="J8" s="52" t="s">
        <v>98</v>
      </c>
      <c r="K8" s="201"/>
    </row>
    <row r="9" spans="1:15" ht="13.5" thickBot="1" x14ac:dyDescent="0.25">
      <c r="A9" s="78"/>
      <c r="B9" s="79"/>
      <c r="C9" s="79"/>
      <c r="D9" s="79"/>
      <c r="E9" s="80"/>
      <c r="F9" s="60" t="s">
        <v>93</v>
      </c>
      <c r="G9" s="60" t="s">
        <v>94</v>
      </c>
      <c r="H9" s="60" t="s">
        <v>95</v>
      </c>
      <c r="I9" s="60" t="s">
        <v>96</v>
      </c>
      <c r="J9" s="60" t="s">
        <v>97</v>
      </c>
      <c r="K9" s="202"/>
    </row>
    <row r="10" spans="1:15" ht="30" customHeight="1" x14ac:dyDescent="0.2">
      <c r="A10" s="59" t="s">
        <v>108</v>
      </c>
      <c r="B10" s="53"/>
      <c r="C10" s="53"/>
      <c r="D10" s="53"/>
      <c r="E10" s="54"/>
      <c r="F10" s="61">
        <f>+F13+F15+F16+F14</f>
        <v>17353181</v>
      </c>
      <c r="G10" s="61">
        <f t="shared" ref="G10:I10" si="0">+G13+G15+G16+G14</f>
        <v>19387644</v>
      </c>
      <c r="H10" s="61">
        <f t="shared" si="0"/>
        <v>21088939</v>
      </c>
      <c r="I10" s="61">
        <f t="shared" si="0"/>
        <v>26159628</v>
      </c>
      <c r="J10" s="61">
        <f t="shared" ref="J10:J45" si="1">IF(F10=0,"-",+I10/F10*100)</f>
        <v>150.74831525124989</v>
      </c>
      <c r="K10" s="62"/>
    </row>
    <row r="11" spans="1:15" ht="17.25" customHeight="1" x14ac:dyDescent="0.2">
      <c r="A11" s="56"/>
      <c r="B11" s="203" t="s">
        <v>4</v>
      </c>
      <c r="C11" s="204"/>
      <c r="D11" s="63" t="s">
        <v>89</v>
      </c>
      <c r="E11" s="64"/>
      <c r="F11" s="133">
        <f>販売計画!D5</f>
        <v>1590</v>
      </c>
      <c r="G11" s="133">
        <v>1716</v>
      </c>
      <c r="H11" s="133">
        <v>1921</v>
      </c>
      <c r="I11" s="133">
        <v>2532</v>
      </c>
      <c r="J11" s="105">
        <f t="shared" si="1"/>
        <v>159.24528301886792</v>
      </c>
      <c r="K11" s="197" t="s">
        <v>191</v>
      </c>
      <c r="L11" t="s">
        <v>105</v>
      </c>
      <c r="O11" s="34"/>
    </row>
    <row r="12" spans="1:15" ht="17.25" customHeight="1" x14ac:dyDescent="0.2">
      <c r="A12" s="57"/>
      <c r="B12" s="205"/>
      <c r="C12" s="206"/>
      <c r="D12" s="65" t="s">
        <v>90</v>
      </c>
      <c r="E12" s="66"/>
      <c r="F12" s="134">
        <f>販売計画!D7</f>
        <v>67098</v>
      </c>
      <c r="G12" s="134">
        <v>73788</v>
      </c>
      <c r="H12" s="134">
        <v>82603</v>
      </c>
      <c r="I12" s="134">
        <v>108876</v>
      </c>
      <c r="J12" s="106">
        <f t="shared" si="1"/>
        <v>162.26415094339623</v>
      </c>
      <c r="K12" s="198"/>
      <c r="L12" t="s">
        <v>104</v>
      </c>
      <c r="O12" s="34"/>
    </row>
    <row r="13" spans="1:15" ht="17.25" customHeight="1" x14ac:dyDescent="0.2">
      <c r="A13" s="57"/>
      <c r="B13" s="207"/>
      <c r="C13" s="208"/>
      <c r="D13" s="67" t="s">
        <v>91</v>
      </c>
      <c r="E13" s="68"/>
      <c r="F13" s="135">
        <f>販売計画!D9</f>
        <v>12211836</v>
      </c>
      <c r="G13" s="135">
        <v>14241084</v>
      </c>
      <c r="H13" s="135">
        <v>15942379</v>
      </c>
      <c r="I13" s="135">
        <v>21013068</v>
      </c>
      <c r="J13" s="61">
        <f t="shared" si="1"/>
        <v>172.07132490151358</v>
      </c>
      <c r="K13" s="199"/>
      <c r="O13" s="34"/>
    </row>
    <row r="14" spans="1:15" ht="26.5" customHeight="1" x14ac:dyDescent="0.2">
      <c r="A14" s="57"/>
      <c r="B14" s="188" t="s">
        <v>184</v>
      </c>
      <c r="C14" s="189"/>
      <c r="D14" s="189"/>
      <c r="E14" s="190"/>
      <c r="F14" s="135">
        <f>販売計画!D14</f>
        <v>3346560</v>
      </c>
      <c r="G14" s="135">
        <v>3346560</v>
      </c>
      <c r="H14" s="135">
        <v>3346560</v>
      </c>
      <c r="I14" s="135">
        <v>3346560</v>
      </c>
      <c r="J14" s="107">
        <f t="shared" si="1"/>
        <v>100</v>
      </c>
      <c r="K14" s="164" t="s">
        <v>187</v>
      </c>
      <c r="O14" s="34"/>
    </row>
    <row r="15" spans="1:15" ht="30" customHeight="1" x14ac:dyDescent="0.2">
      <c r="A15" s="57"/>
      <c r="B15" s="191" t="s">
        <v>185</v>
      </c>
      <c r="C15" s="192"/>
      <c r="D15" s="192"/>
      <c r="E15" s="193"/>
      <c r="F15" s="132">
        <f>SUM(収支計画!D7:D8)</f>
        <v>1794785</v>
      </c>
      <c r="G15" s="132">
        <v>1800000</v>
      </c>
      <c r="H15" s="132">
        <v>1800000</v>
      </c>
      <c r="I15" s="132">
        <v>1800000</v>
      </c>
      <c r="J15" s="107">
        <f>IF(F15=0,"-",+I15/F15*100)</f>
        <v>100.29056405084731</v>
      </c>
      <c r="K15" s="137" t="s">
        <v>193</v>
      </c>
      <c r="O15" s="34"/>
    </row>
    <row r="16" spans="1:15" ht="19.5" customHeight="1" thickBot="1" x14ac:dyDescent="0.25">
      <c r="A16" s="58"/>
      <c r="B16" s="69" t="s">
        <v>186</v>
      </c>
      <c r="C16" s="69"/>
      <c r="D16" s="70"/>
      <c r="E16" s="71"/>
      <c r="F16" s="136">
        <f>収支計画!D9</f>
        <v>0</v>
      </c>
      <c r="G16" s="136">
        <f>+F16</f>
        <v>0</v>
      </c>
      <c r="H16" s="136">
        <f>+F16</f>
        <v>0</v>
      </c>
      <c r="I16" s="136">
        <f>+F16</f>
        <v>0</v>
      </c>
      <c r="J16" s="108" t="str">
        <f t="shared" si="1"/>
        <v>-</v>
      </c>
      <c r="K16" s="138" t="s">
        <v>188</v>
      </c>
      <c r="O16" s="34"/>
    </row>
    <row r="17" spans="1:12" ht="30" customHeight="1" x14ac:dyDescent="0.2">
      <c r="A17" s="90" t="s">
        <v>109</v>
      </c>
      <c r="B17" s="91"/>
      <c r="C17" s="91"/>
      <c r="D17" s="91"/>
      <c r="E17" s="92"/>
      <c r="F17" s="93">
        <f>SUMIF($L$18:$L$46,1,F$18:F$46)</f>
        <v>16609378.74</v>
      </c>
      <c r="G17" s="93">
        <f t="shared" ref="G17:I17" si="2">SUMIF($L$18:$L$46,1,G$18:G$46)</f>
        <v>17594800</v>
      </c>
      <c r="H17" s="93">
        <f t="shared" si="2"/>
        <v>19389300</v>
      </c>
      <c r="I17" s="93">
        <f t="shared" si="2"/>
        <v>22763000</v>
      </c>
      <c r="J17" s="93">
        <f t="shared" si="1"/>
        <v>137.04907544302284</v>
      </c>
      <c r="K17" s="94"/>
    </row>
    <row r="18" spans="1:12" ht="17.25" customHeight="1" x14ac:dyDescent="0.2">
      <c r="A18" s="95"/>
      <c r="B18" s="81" t="s">
        <v>45</v>
      </c>
      <c r="C18" s="81"/>
      <c r="D18" s="85"/>
      <c r="E18" s="86" t="s">
        <v>115</v>
      </c>
      <c r="F18" s="109">
        <f>22500*8+F19</f>
        <v>943359</v>
      </c>
      <c r="G18" s="109">
        <f t="shared" ref="G18:I18" si="3">22500*8+G19</f>
        <v>1003900</v>
      </c>
      <c r="H18" s="109">
        <f t="shared" si="3"/>
        <v>1102300</v>
      </c>
      <c r="I18" s="109">
        <f t="shared" si="3"/>
        <v>1395600</v>
      </c>
      <c r="J18" s="116">
        <f t="shared" si="1"/>
        <v>147.93943769021126</v>
      </c>
      <c r="K18" s="185" t="s">
        <v>166</v>
      </c>
      <c r="L18" s="165">
        <v>1</v>
      </c>
    </row>
    <row r="19" spans="1:12" ht="17.25" customHeight="1" x14ac:dyDescent="0.2">
      <c r="A19" s="95"/>
      <c r="B19" s="82"/>
      <c r="C19" s="87" t="s">
        <v>106</v>
      </c>
      <c r="D19" s="88"/>
      <c r="E19" s="89" t="s">
        <v>115</v>
      </c>
      <c r="F19" s="110">
        <f>48010/100*F$11</f>
        <v>763359</v>
      </c>
      <c r="G19" s="110">
        <f>ROUND(48010/100*G$11,-2)</f>
        <v>823900</v>
      </c>
      <c r="H19" s="110">
        <f>ROUND(48010/100*H$11,-2)</f>
        <v>922300</v>
      </c>
      <c r="I19" s="110">
        <f>ROUND(48010/100*I$11,-2)</f>
        <v>1215600</v>
      </c>
      <c r="J19" s="117">
        <f t="shared" si="1"/>
        <v>159.2435538193694</v>
      </c>
      <c r="K19" s="186"/>
      <c r="L19" s="165"/>
    </row>
    <row r="20" spans="1:12" ht="17.25" customHeight="1" x14ac:dyDescent="0.2">
      <c r="A20" s="95"/>
      <c r="B20" s="81" t="s">
        <v>46</v>
      </c>
      <c r="C20" s="81"/>
      <c r="D20" s="85"/>
      <c r="E20" s="86" t="s">
        <v>115</v>
      </c>
      <c r="F20" s="109">
        <f>36400*8+F21</f>
        <v>1806788</v>
      </c>
      <c r="G20" s="109">
        <f t="shared" ref="G20:I20" si="4">36400*8+G21</f>
        <v>1926900</v>
      </c>
      <c r="H20" s="109">
        <f t="shared" si="4"/>
        <v>2122300</v>
      </c>
      <c r="I20" s="109">
        <f t="shared" si="4"/>
        <v>2704700</v>
      </c>
      <c r="J20" s="116">
        <f t="shared" si="1"/>
        <v>149.69658864238639</v>
      </c>
      <c r="K20" s="185" t="s">
        <v>112</v>
      </c>
      <c r="L20" s="165">
        <v>1</v>
      </c>
    </row>
    <row r="21" spans="1:12" ht="17.25" customHeight="1" x14ac:dyDescent="0.2">
      <c r="A21" s="95"/>
      <c r="B21" s="82"/>
      <c r="C21" s="87" t="s">
        <v>106</v>
      </c>
      <c r="D21" s="88"/>
      <c r="E21" s="89" t="s">
        <v>115</v>
      </c>
      <c r="F21" s="110">
        <f>95320/100*F$11</f>
        <v>1515588</v>
      </c>
      <c r="G21" s="110">
        <f>ROUND(95320/100*G$11,-2)</f>
        <v>1635700</v>
      </c>
      <c r="H21" s="110">
        <f t="shared" ref="H21:I21" si="5">ROUND(95320/100*H$11,-2)</f>
        <v>1831100</v>
      </c>
      <c r="I21" s="110">
        <f t="shared" si="5"/>
        <v>2413500</v>
      </c>
      <c r="J21" s="117">
        <f t="shared" si="1"/>
        <v>159.24512466448667</v>
      </c>
      <c r="K21" s="186"/>
      <c r="L21" s="165"/>
    </row>
    <row r="22" spans="1:12" ht="17.25" customHeight="1" x14ac:dyDescent="0.2">
      <c r="A22" s="95"/>
      <c r="B22" s="81" t="s">
        <v>47</v>
      </c>
      <c r="C22" s="81"/>
      <c r="D22" s="85"/>
      <c r="E22" s="86" t="s">
        <v>115</v>
      </c>
      <c r="F22" s="109">
        <f>33100*8+F23</f>
        <v>1524875</v>
      </c>
      <c r="G22" s="109">
        <f t="shared" ref="G22:I22" si="6">33100*8+G23</f>
        <v>1624700</v>
      </c>
      <c r="H22" s="109">
        <f t="shared" si="6"/>
        <v>1787200</v>
      </c>
      <c r="I22" s="109">
        <f t="shared" si="6"/>
        <v>2271400</v>
      </c>
      <c r="J22" s="116">
        <f t="shared" si="1"/>
        <v>148.95647184195425</v>
      </c>
      <c r="K22" s="185" t="s">
        <v>113</v>
      </c>
      <c r="L22" s="165">
        <v>1</v>
      </c>
    </row>
    <row r="23" spans="1:12" ht="17.25" customHeight="1" x14ac:dyDescent="0.2">
      <c r="A23" s="95"/>
      <c r="B23" s="82"/>
      <c r="C23" s="87" t="s">
        <v>106</v>
      </c>
      <c r="D23" s="88"/>
      <c r="E23" s="89" t="s">
        <v>115</v>
      </c>
      <c r="F23" s="110">
        <f>79250/100*F$11</f>
        <v>1260075</v>
      </c>
      <c r="G23" s="110">
        <f>ROUND(79250/100*G$11,-2)</f>
        <v>1359900</v>
      </c>
      <c r="H23" s="110">
        <f t="shared" ref="H23:I23" si="7">ROUND(79250/100*H$11,-2)</f>
        <v>1522400</v>
      </c>
      <c r="I23" s="110">
        <f t="shared" si="7"/>
        <v>2006600</v>
      </c>
      <c r="J23" s="117">
        <f t="shared" si="1"/>
        <v>159.24448941531259</v>
      </c>
      <c r="K23" s="186"/>
      <c r="L23" s="165"/>
    </row>
    <row r="24" spans="1:12" ht="17.25" customHeight="1" x14ac:dyDescent="0.2">
      <c r="A24" s="95"/>
      <c r="B24" s="81" t="s">
        <v>48</v>
      </c>
      <c r="C24" s="81"/>
      <c r="D24" s="85"/>
      <c r="E24" s="86" t="s">
        <v>115</v>
      </c>
      <c r="F24" s="109">
        <f>96900*8+F25</f>
        <v>1118640</v>
      </c>
      <c r="G24" s="109">
        <f t="shared" ref="G24:I24" si="8">96900*8+G25</f>
        <v>1145900</v>
      </c>
      <c r="H24" s="109">
        <f t="shared" si="8"/>
        <v>1190100</v>
      </c>
      <c r="I24" s="109">
        <f t="shared" si="8"/>
        <v>1322100</v>
      </c>
      <c r="J24" s="116">
        <f t="shared" si="1"/>
        <v>118.1881570478438</v>
      </c>
      <c r="K24" s="185" t="s">
        <v>114</v>
      </c>
      <c r="L24" s="165">
        <v>1</v>
      </c>
    </row>
    <row r="25" spans="1:12" ht="17.25" customHeight="1" x14ac:dyDescent="0.2">
      <c r="A25" s="95"/>
      <c r="B25" s="82"/>
      <c r="C25" s="87" t="s">
        <v>106</v>
      </c>
      <c r="D25" s="88"/>
      <c r="E25" s="89" t="s">
        <v>115</v>
      </c>
      <c r="F25" s="110">
        <f>21600/100*F$11</f>
        <v>343440</v>
      </c>
      <c r="G25" s="110">
        <f>ROUND(21600/100*G$11,-2)</f>
        <v>370700</v>
      </c>
      <c r="H25" s="110">
        <f>ROUND(21600/100*H$11,-2)</f>
        <v>414900</v>
      </c>
      <c r="I25" s="110">
        <f>ROUND(21600/100*I$11,-2)</f>
        <v>546900</v>
      </c>
      <c r="J25" s="117">
        <f t="shared" si="1"/>
        <v>159.24178895877009</v>
      </c>
      <c r="K25" s="186"/>
      <c r="L25" s="165"/>
    </row>
    <row r="26" spans="1:12" ht="17.25" customHeight="1" x14ac:dyDescent="0.2">
      <c r="A26" s="95"/>
      <c r="B26" s="81" t="s">
        <v>49</v>
      </c>
      <c r="C26" s="81"/>
      <c r="D26" s="85"/>
      <c r="E26" s="86" t="s">
        <v>115</v>
      </c>
      <c r="F26" s="109">
        <f>12500*8+F27</f>
        <v>1177702</v>
      </c>
      <c r="G26" s="109">
        <f t="shared" ref="G26:I26" si="9">12500*8+G27</f>
        <v>1263100</v>
      </c>
      <c r="H26" s="109">
        <f t="shared" si="9"/>
        <v>1402100</v>
      </c>
      <c r="I26" s="109">
        <f t="shared" si="9"/>
        <v>1816200</v>
      </c>
      <c r="J26" s="116">
        <f t="shared" si="1"/>
        <v>154.21558254974519</v>
      </c>
      <c r="K26" s="185" t="s">
        <v>133</v>
      </c>
      <c r="L26" s="165">
        <v>1</v>
      </c>
    </row>
    <row r="27" spans="1:12" ht="17.25" customHeight="1" x14ac:dyDescent="0.2">
      <c r="A27" s="95"/>
      <c r="B27" s="82"/>
      <c r="C27" s="87" t="s">
        <v>106</v>
      </c>
      <c r="D27" s="88"/>
      <c r="E27" s="89" t="s">
        <v>115</v>
      </c>
      <c r="F27" s="110">
        <f>67780/100*F$11</f>
        <v>1077702</v>
      </c>
      <c r="G27" s="110">
        <f>ROUND(67780/100*G$11,-2)</f>
        <v>1163100</v>
      </c>
      <c r="H27" s="110">
        <f>ROUND(67780/100*H$11,-2)</f>
        <v>1302100</v>
      </c>
      <c r="I27" s="110">
        <f>ROUND(67780/100*I$11,-2)</f>
        <v>1716200</v>
      </c>
      <c r="J27" s="117">
        <f t="shared" si="1"/>
        <v>159.24624803517113</v>
      </c>
      <c r="K27" s="186"/>
      <c r="L27" s="165"/>
    </row>
    <row r="28" spans="1:12" ht="17.25" customHeight="1" x14ac:dyDescent="0.2">
      <c r="A28" s="95"/>
      <c r="B28" s="81" t="s">
        <v>54</v>
      </c>
      <c r="C28" s="81"/>
      <c r="D28" s="85"/>
      <c r="E28" s="86" t="s">
        <v>115</v>
      </c>
      <c r="F28" s="109">
        <f>F29+352358*80/(F11+80)</f>
        <v>537093.74</v>
      </c>
      <c r="G28" s="109">
        <f>ROUND(G29+352358*80/(G11+80),-2)</f>
        <v>551700</v>
      </c>
      <c r="H28" s="109">
        <f>ROUND(H29+352358*80/(H11+80),-2)</f>
        <v>575600</v>
      </c>
      <c r="I28" s="109">
        <f>ROUND(I29+352358*80/(I11+80),-2)</f>
        <v>646500</v>
      </c>
      <c r="J28" s="116">
        <f t="shared" si="1"/>
        <v>120.37004936978039</v>
      </c>
      <c r="K28" s="185" t="s">
        <v>134</v>
      </c>
      <c r="L28" s="165">
        <v>1</v>
      </c>
    </row>
    <row r="29" spans="1:12" ht="17.25" customHeight="1" x14ac:dyDescent="0.2">
      <c r="A29" s="95"/>
      <c r="B29" s="82"/>
      <c r="C29" s="87" t="s">
        <v>106</v>
      </c>
      <c r="D29" s="88"/>
      <c r="E29" s="89" t="s">
        <v>115</v>
      </c>
      <c r="F29" s="110">
        <f>F11*43*0.7*193*0.04*0.5+352358*F11/(F11+80)</f>
        <v>520214.31485029939</v>
      </c>
      <c r="G29" s="110">
        <f>ROUND(G11*43*0.7*193*0.04*0.5+352358*G11/(G11+80),-2)</f>
        <v>536000</v>
      </c>
      <c r="H29" s="110">
        <f>ROUND(H11*43*0.7*193*0.04*0.5+352358*H11/(H11+80),-2)</f>
        <v>561500</v>
      </c>
      <c r="I29" s="110">
        <f>ROUND(I11*43*0.7*193*0.04*0.5+352358*I11/(I11+80),-2)</f>
        <v>635700</v>
      </c>
      <c r="J29" s="117">
        <f t="shared" si="1"/>
        <v>122.19963616013405</v>
      </c>
      <c r="K29" s="186"/>
      <c r="L29" s="165"/>
    </row>
    <row r="30" spans="1:12" ht="17.25" customHeight="1" x14ac:dyDescent="0.2">
      <c r="A30" s="95"/>
      <c r="B30" s="81" t="s">
        <v>75</v>
      </c>
      <c r="C30" s="81"/>
      <c r="D30" s="85"/>
      <c r="E30" s="86" t="s">
        <v>115</v>
      </c>
      <c r="F30" s="109">
        <f>69720+501984+F31</f>
        <v>670704</v>
      </c>
      <c r="G30" s="109">
        <f>ROUND(69720+501984+G31,-2)</f>
        <v>680700</v>
      </c>
      <c r="H30" s="109">
        <f t="shared" ref="H30:I30" si="10">ROUND(69720+501984+H31,-2)</f>
        <v>694000</v>
      </c>
      <c r="I30" s="109">
        <f t="shared" si="10"/>
        <v>733400</v>
      </c>
      <c r="J30" s="116">
        <f t="shared" si="1"/>
        <v>109.34778978506168</v>
      </c>
      <c r="K30" s="185" t="s">
        <v>118</v>
      </c>
      <c r="L30" s="165">
        <v>1</v>
      </c>
    </row>
    <row r="31" spans="1:12" ht="17.25" customHeight="1" x14ac:dyDescent="0.2">
      <c r="A31" s="95"/>
      <c r="B31" s="82"/>
      <c r="C31" s="87" t="s">
        <v>106</v>
      </c>
      <c r="D31" s="88"/>
      <c r="E31" s="89" t="s">
        <v>115</v>
      </c>
      <c r="F31" s="110">
        <f>66000/60*90</f>
        <v>99000</v>
      </c>
      <c r="G31" s="110">
        <f>ROUND((G12-$F$12)/60*90,-2)+$F$31</f>
        <v>109000</v>
      </c>
      <c r="H31" s="110">
        <f>ROUND((H12-$F$12)/60*90,-2)+$F$31</f>
        <v>122300</v>
      </c>
      <c r="I31" s="110">
        <f>ROUND((I12-$F$12)/60*90,-2)+$F$31</f>
        <v>161700</v>
      </c>
      <c r="J31" s="117">
        <f t="shared" si="1"/>
        <v>163.33333333333334</v>
      </c>
      <c r="K31" s="186"/>
      <c r="L31" s="165"/>
    </row>
    <row r="32" spans="1:12" ht="17.25" customHeight="1" x14ac:dyDescent="0.2">
      <c r="A32" s="95"/>
      <c r="B32" s="81" t="s">
        <v>110</v>
      </c>
      <c r="C32" s="81"/>
      <c r="D32" s="85"/>
      <c r="E32" s="86" t="s">
        <v>115</v>
      </c>
      <c r="F32" s="109">
        <f>900*480+F33</f>
        <v>1590200</v>
      </c>
      <c r="G32" s="109">
        <f>900*480+G33</f>
        <v>1602600</v>
      </c>
      <c r="H32" s="109">
        <f>900*480+H33</f>
        <v>1604100</v>
      </c>
      <c r="I32" s="109">
        <f>900*480+I33</f>
        <v>1626200</v>
      </c>
      <c r="J32" s="116">
        <f t="shared" si="1"/>
        <v>102.26386618035468</v>
      </c>
      <c r="K32" s="185" t="s">
        <v>127</v>
      </c>
      <c r="L32" s="165">
        <v>1</v>
      </c>
    </row>
    <row r="33" spans="1:12" ht="17.25" customHeight="1" x14ac:dyDescent="0.2">
      <c r="A33" s="95"/>
      <c r="B33" s="82"/>
      <c r="C33" s="87" t="s">
        <v>106</v>
      </c>
      <c r="D33" s="88"/>
      <c r="E33" s="89" t="s">
        <v>115</v>
      </c>
      <c r="F33" s="110">
        <f>900*(1728-480)+35000</f>
        <v>1158200</v>
      </c>
      <c r="G33" s="111">
        <f>ROUND(+$F$33+(($I$11/$F$11)*(G11/$F$11)*900*8),-2)</f>
        <v>1170600</v>
      </c>
      <c r="H33" s="111">
        <f>ROUND(+$F$33+(($I$11/$F$11)*(H11/$F$11)*900*8),-2)</f>
        <v>1172100</v>
      </c>
      <c r="I33" s="111">
        <f>+$F$33+5*900*8</f>
        <v>1194200</v>
      </c>
      <c r="J33" s="117">
        <f t="shared" si="1"/>
        <v>103.10827145570714</v>
      </c>
      <c r="K33" s="186"/>
      <c r="L33" s="165"/>
    </row>
    <row r="34" spans="1:12" ht="17.25" customHeight="1" x14ac:dyDescent="0.2">
      <c r="A34" s="95"/>
      <c r="B34" s="81" t="s">
        <v>53</v>
      </c>
      <c r="C34" s="81"/>
      <c r="D34" s="85"/>
      <c r="E34" s="86" t="s">
        <v>115</v>
      </c>
      <c r="F34" s="109">
        <f>13500/10*80*(1490/(1490+80))+F35</f>
        <v>2061500</v>
      </c>
      <c r="G34" s="109">
        <f>ROUND(13500/10*80*((1490+G11-$F$11)/(1490+G11-$F$11+80))+G35,-2)</f>
        <v>2165900</v>
      </c>
      <c r="H34" s="109">
        <f>ROUND(13500/10*80*((1490+H11-$F$11)/(1490+H11-$F$11+80))+H35,-2)</f>
        <v>2422400</v>
      </c>
      <c r="I34" s="109">
        <f>ROUND(13500/10*80*((1490+I11-$F$11)/(1490+I11-$F$11+80))+I35,-2)</f>
        <v>3235800</v>
      </c>
      <c r="J34" s="116">
        <f t="shared" si="1"/>
        <v>156.96337618239147</v>
      </c>
      <c r="K34" s="185" t="s">
        <v>116</v>
      </c>
      <c r="L34" s="165">
        <v>1</v>
      </c>
    </row>
    <row r="35" spans="1:12" ht="17.25" customHeight="1" x14ac:dyDescent="0.2">
      <c r="A35" s="95"/>
      <c r="B35" s="82"/>
      <c r="C35" s="87" t="s">
        <v>106</v>
      </c>
      <c r="D35" s="88"/>
      <c r="E35" s="89" t="s">
        <v>115</v>
      </c>
      <c r="F35" s="110">
        <f>13500/10*1490*(1490/(1490+80))+50000</f>
        <v>1959003.1847133758</v>
      </c>
      <c r="G35" s="110">
        <f>ROUND(13500/10*(G11-$F$11)*((G11-$F$11))/((G11-$F$11+80))+$F$35,-2)</f>
        <v>2063000</v>
      </c>
      <c r="H35" s="110">
        <f>ROUND(13500/10*(H11-$F$11)*((H11-$F$11))/((H11-$F$11+80))+$F$35,-2)</f>
        <v>2318900</v>
      </c>
      <c r="I35" s="110">
        <f>ROUND(13500/10*(I11-$F$11)*((I11-$F$11))/((I11-$F$11+80))+$F$35,-2)</f>
        <v>3131200</v>
      </c>
      <c r="J35" s="117">
        <f t="shared" si="1"/>
        <v>159.83639150939561</v>
      </c>
      <c r="K35" s="186"/>
      <c r="L35" s="165"/>
    </row>
    <row r="36" spans="1:12" ht="17.25" customHeight="1" x14ac:dyDescent="0.2">
      <c r="A36" s="95"/>
      <c r="B36" s="81" t="s">
        <v>55</v>
      </c>
      <c r="C36" s="81"/>
      <c r="D36" s="85"/>
      <c r="E36" s="86" t="s">
        <v>115</v>
      </c>
      <c r="F36" s="109">
        <f>+F37</f>
        <v>663050</v>
      </c>
      <c r="G36" s="109">
        <f>+G37</f>
        <v>719100</v>
      </c>
      <c r="H36" s="109">
        <f>+H37</f>
        <v>810300</v>
      </c>
      <c r="I36" s="109">
        <f>+I37</f>
        <v>1082200</v>
      </c>
      <c r="J36" s="116">
        <f t="shared" si="1"/>
        <v>163.21544378252017</v>
      </c>
      <c r="K36" s="185" t="s">
        <v>162</v>
      </c>
      <c r="L36" s="165">
        <v>1</v>
      </c>
    </row>
    <row r="37" spans="1:12" ht="17.25" customHeight="1" x14ac:dyDescent="0.2">
      <c r="A37" s="95"/>
      <c r="B37" s="82"/>
      <c r="C37" s="87" t="s">
        <v>106</v>
      </c>
      <c r="D37" s="88"/>
      <c r="E37" s="89" t="s">
        <v>115</v>
      </c>
      <c r="F37" s="110">
        <f>445*1490</f>
        <v>663050</v>
      </c>
      <c r="G37" s="110">
        <f>ROUND($F$37+445*(G11-$F$11),-2)</f>
        <v>719100</v>
      </c>
      <c r="H37" s="110">
        <f>ROUND($F$37+445*(H11-$F$11),-2)</f>
        <v>810300</v>
      </c>
      <c r="I37" s="110">
        <f>ROUND($F$37+445*(I11-$F$11),-2)</f>
        <v>1082200</v>
      </c>
      <c r="J37" s="117">
        <f t="shared" si="1"/>
        <v>163.21544378252017</v>
      </c>
      <c r="K37" s="187"/>
      <c r="L37" s="165"/>
    </row>
    <row r="38" spans="1:12" ht="17.25" customHeight="1" x14ac:dyDescent="0.2">
      <c r="A38" s="95"/>
      <c r="B38" s="81" t="s">
        <v>52</v>
      </c>
      <c r="C38" s="81"/>
      <c r="D38" s="85"/>
      <c r="E38" s="86" t="s">
        <v>115</v>
      </c>
      <c r="F38" s="109">
        <f>+F39</f>
        <v>270000</v>
      </c>
      <c r="G38" s="109">
        <f t="shared" ref="G38:I38" si="11">+G39</f>
        <v>0</v>
      </c>
      <c r="H38" s="109">
        <f t="shared" si="11"/>
        <v>0</v>
      </c>
      <c r="I38" s="109">
        <f t="shared" si="11"/>
        <v>0</v>
      </c>
      <c r="J38" s="116">
        <f t="shared" si="1"/>
        <v>0</v>
      </c>
      <c r="K38" s="185" t="s">
        <v>130</v>
      </c>
      <c r="L38" s="165">
        <v>1</v>
      </c>
    </row>
    <row r="39" spans="1:12" ht="17.25" customHeight="1" x14ac:dyDescent="0.2">
      <c r="A39" s="95"/>
      <c r="B39" s="82"/>
      <c r="C39" s="87" t="s">
        <v>106</v>
      </c>
      <c r="D39" s="88"/>
      <c r="E39" s="89" t="s">
        <v>115</v>
      </c>
      <c r="F39" s="110">
        <f>15000*18</f>
        <v>270000</v>
      </c>
      <c r="G39" s="111">
        <v>0</v>
      </c>
      <c r="H39" s="111">
        <v>0</v>
      </c>
      <c r="I39" s="111">
        <v>0</v>
      </c>
      <c r="J39" s="117">
        <f t="shared" si="1"/>
        <v>0</v>
      </c>
      <c r="K39" s="186"/>
      <c r="L39" s="165"/>
    </row>
    <row r="40" spans="1:12" ht="30" customHeight="1" x14ac:dyDescent="0.2">
      <c r="A40" s="95"/>
      <c r="B40" s="72" t="s">
        <v>44</v>
      </c>
      <c r="C40" s="72"/>
      <c r="D40" s="83"/>
      <c r="E40" s="84" t="s">
        <v>115</v>
      </c>
      <c r="F40" s="112">
        <v>203850</v>
      </c>
      <c r="G40" s="112">
        <v>300000</v>
      </c>
      <c r="H40" s="112">
        <v>500000</v>
      </c>
      <c r="I40" s="112">
        <v>750000</v>
      </c>
      <c r="J40" s="118">
        <f t="shared" si="1"/>
        <v>367.91758646063283</v>
      </c>
      <c r="K40" s="120" t="s">
        <v>195</v>
      </c>
      <c r="L40" s="166">
        <v>1</v>
      </c>
    </row>
    <row r="41" spans="1:12" ht="30" customHeight="1" x14ac:dyDescent="0.2">
      <c r="A41" s="95"/>
      <c r="B41" s="72" t="s">
        <v>40</v>
      </c>
      <c r="C41" s="72"/>
      <c r="D41" s="83"/>
      <c r="E41" s="84" t="s">
        <v>115</v>
      </c>
      <c r="F41" s="112">
        <v>2157620</v>
      </c>
      <c r="G41" s="113">
        <f>+ROUND(((12960000-5000000)/7*0.5)+$F$41,-2)</f>
        <v>2726200</v>
      </c>
      <c r="H41" s="113">
        <f>+ROUND(((12960000-5000000)/7)+$F$41,-2)</f>
        <v>3294800</v>
      </c>
      <c r="I41" s="113">
        <f>+ROUND(((12960000-5000000)/7)+$F$41,-2)</f>
        <v>3294800</v>
      </c>
      <c r="J41" s="118">
        <f t="shared" si="1"/>
        <v>152.70529564983639</v>
      </c>
      <c r="K41" s="120" t="s">
        <v>131</v>
      </c>
      <c r="L41" s="165">
        <v>1</v>
      </c>
    </row>
    <row r="42" spans="1:12" ht="30" customHeight="1" x14ac:dyDescent="0.2">
      <c r="A42" s="95"/>
      <c r="B42" s="81" t="s">
        <v>50</v>
      </c>
      <c r="C42" s="72"/>
      <c r="D42" s="83"/>
      <c r="E42" s="84" t="s">
        <v>107</v>
      </c>
      <c r="F42" s="112">
        <v>694693</v>
      </c>
      <c r="G42" s="113">
        <f>+ROUND(F42,-2)</f>
        <v>694700</v>
      </c>
      <c r="H42" s="113">
        <f t="shared" ref="H42:I43" si="12">+ROUND(G42,-2)</f>
        <v>694700</v>
      </c>
      <c r="I42" s="113">
        <f t="shared" si="12"/>
        <v>694700</v>
      </c>
      <c r="J42" s="118">
        <f t="shared" si="1"/>
        <v>100.00100763934572</v>
      </c>
      <c r="K42" s="120"/>
      <c r="L42" s="166">
        <v>1</v>
      </c>
    </row>
    <row r="43" spans="1:12" ht="30" customHeight="1" x14ac:dyDescent="0.2">
      <c r="A43" s="95"/>
      <c r="B43" s="81" t="s">
        <v>51</v>
      </c>
      <c r="C43" s="72"/>
      <c r="D43" s="83"/>
      <c r="E43" s="84" t="s">
        <v>107</v>
      </c>
      <c r="F43" s="112">
        <v>1022688</v>
      </c>
      <c r="G43" s="113">
        <f>+ROUND(F43,-2)</f>
        <v>1022700</v>
      </c>
      <c r="H43" s="113">
        <f t="shared" si="12"/>
        <v>1022700</v>
      </c>
      <c r="I43" s="113">
        <f t="shared" si="12"/>
        <v>1022700</v>
      </c>
      <c r="J43" s="118">
        <f t="shared" si="1"/>
        <v>100.00117337839107</v>
      </c>
      <c r="K43" s="120"/>
      <c r="L43" s="165">
        <v>1</v>
      </c>
    </row>
    <row r="44" spans="1:12" ht="30" customHeight="1" x14ac:dyDescent="0.2">
      <c r="A44" s="95"/>
      <c r="B44" s="72" t="s">
        <v>194</v>
      </c>
      <c r="C44" s="72"/>
      <c r="D44" s="83"/>
      <c r="E44" s="84" t="s">
        <v>107</v>
      </c>
      <c r="F44" s="112">
        <v>41960</v>
      </c>
      <c r="G44" s="113">
        <f>+ROUND(F44,-2)</f>
        <v>42000</v>
      </c>
      <c r="H44" s="113">
        <f t="shared" ref="H44:I46" si="13">+ROUND(G44,-2)</f>
        <v>42000</v>
      </c>
      <c r="I44" s="113">
        <f t="shared" si="13"/>
        <v>42000</v>
      </c>
      <c r="J44" s="118">
        <f t="shared" si="1"/>
        <v>100.09532888465205</v>
      </c>
      <c r="K44" s="120"/>
      <c r="L44" s="166">
        <v>1</v>
      </c>
    </row>
    <row r="45" spans="1:12" ht="30" customHeight="1" x14ac:dyDescent="0.2">
      <c r="A45" s="95"/>
      <c r="B45" s="72" t="s">
        <v>153</v>
      </c>
      <c r="C45" s="72"/>
      <c r="D45" s="83"/>
      <c r="E45" s="84" t="s">
        <v>160</v>
      </c>
      <c r="F45" s="112">
        <f>26400+48256+50000</f>
        <v>124656</v>
      </c>
      <c r="G45" s="113">
        <f>+ROUND(F45,-2)</f>
        <v>124700</v>
      </c>
      <c r="H45" s="113">
        <f t="shared" ref="H45" si="14">+ROUND(G45,-2)</f>
        <v>124700</v>
      </c>
      <c r="I45" s="113">
        <f t="shared" ref="I45" si="15">+ROUND(H45,-2)</f>
        <v>124700</v>
      </c>
      <c r="J45" s="118">
        <f t="shared" si="1"/>
        <v>100.03529713772301</v>
      </c>
      <c r="K45" s="120"/>
      <c r="L45" s="165">
        <v>1</v>
      </c>
    </row>
    <row r="46" spans="1:12" ht="30" customHeight="1" thickBot="1" x14ac:dyDescent="0.25">
      <c r="A46" s="96"/>
      <c r="B46" s="97" t="s">
        <v>165</v>
      </c>
      <c r="C46" s="97"/>
      <c r="D46" s="98"/>
      <c r="E46" s="99" t="s">
        <v>107</v>
      </c>
      <c r="F46" s="114">
        <v>0</v>
      </c>
      <c r="G46" s="115">
        <f>+ROUND(F46,-2)</f>
        <v>0</v>
      </c>
      <c r="H46" s="115">
        <f t="shared" si="13"/>
        <v>0</v>
      </c>
      <c r="I46" s="115">
        <f t="shared" si="13"/>
        <v>0</v>
      </c>
      <c r="J46" s="119" t="str">
        <f>IF(F46=0,"-",+I46/F46*100)</f>
        <v>-</v>
      </c>
      <c r="K46" s="121"/>
      <c r="L46" s="166">
        <v>1</v>
      </c>
    </row>
    <row r="47" spans="1:12" ht="30" customHeight="1" thickBot="1" x14ac:dyDescent="0.25">
      <c r="A47" s="100" t="s">
        <v>122</v>
      </c>
      <c r="B47" s="101"/>
      <c r="C47" s="101"/>
      <c r="D47" s="101" t="s">
        <v>123</v>
      </c>
      <c r="E47" s="102"/>
      <c r="F47" s="103">
        <f>+F10-F17</f>
        <v>743802.25999999978</v>
      </c>
      <c r="G47" s="103">
        <f t="shared" ref="G47:I47" si="16">+G10-G17</f>
        <v>1792844</v>
      </c>
      <c r="H47" s="103">
        <f t="shared" si="16"/>
        <v>1699639</v>
      </c>
      <c r="I47" s="103">
        <f t="shared" si="16"/>
        <v>3396628</v>
      </c>
      <c r="J47" s="103">
        <f t="shared" ref="J47" si="17">IF(F47=0,"-",+I47/F47*100)</f>
        <v>456.65739171053355</v>
      </c>
      <c r="K47" s="104"/>
    </row>
    <row r="48" spans="1:12" ht="30" customHeight="1" thickBot="1" x14ac:dyDescent="0.25">
      <c r="A48" s="100" t="s">
        <v>124</v>
      </c>
      <c r="B48" s="101"/>
      <c r="C48" s="101"/>
      <c r="D48" s="101" t="s">
        <v>111</v>
      </c>
      <c r="E48" s="102"/>
      <c r="F48" s="103">
        <f>+F10-F17+F32</f>
        <v>2334002.2599999998</v>
      </c>
      <c r="G48" s="103">
        <f>+G10-G17+G32</f>
        <v>3395444</v>
      </c>
      <c r="H48" s="103">
        <f>+H10-H17+H32</f>
        <v>3303739</v>
      </c>
      <c r="I48" s="103">
        <f>+I10-I17+I32</f>
        <v>5022828</v>
      </c>
      <c r="J48" s="103">
        <f>IF(F48=0,"-",+I48/F48*100)</f>
        <v>215.20236231476488</v>
      </c>
      <c r="K48" s="160"/>
    </row>
    <row r="49" spans="1:1" ht="15" customHeight="1" x14ac:dyDescent="0.2">
      <c r="A49" t="s">
        <v>171</v>
      </c>
    </row>
    <row r="50" spans="1:1" ht="15" customHeight="1" x14ac:dyDescent="0.2">
      <c r="A50" t="s">
        <v>172</v>
      </c>
    </row>
    <row r="51" spans="1:1" ht="15" customHeight="1" x14ac:dyDescent="0.2">
      <c r="A51" s="1" t="s">
        <v>174</v>
      </c>
    </row>
    <row r="52" spans="1:1" ht="18" customHeight="1" x14ac:dyDescent="0.2">
      <c r="A52" s="37"/>
    </row>
  </sheetData>
  <mergeCells count="21">
    <mergeCell ref="B14:E14"/>
    <mergeCell ref="B15:E15"/>
    <mergeCell ref="A4:C4"/>
    <mergeCell ref="K11:K13"/>
    <mergeCell ref="K7:K9"/>
    <mergeCell ref="B11:C13"/>
    <mergeCell ref="A5:C5"/>
    <mergeCell ref="D5:J5"/>
    <mergeCell ref="D4:G4"/>
    <mergeCell ref="I4:J4"/>
    <mergeCell ref="K28:K29"/>
    <mergeCell ref="K18:K19"/>
    <mergeCell ref="K20:K21"/>
    <mergeCell ref="K22:K23"/>
    <mergeCell ref="K24:K25"/>
    <mergeCell ref="K26:K27"/>
    <mergeCell ref="K30:K31"/>
    <mergeCell ref="K32:K33"/>
    <mergeCell ref="K34:K35"/>
    <mergeCell ref="K36:K37"/>
    <mergeCell ref="K38:K39"/>
  </mergeCells>
  <phoneticPr fontId="1"/>
  <pageMargins left="0.70866141732283472" right="0.70866141732283472" top="0.74803149606299213" bottom="0.74803149606299213" header="0.31496062992125984" footer="0.31496062992125984"/>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小柳＿良輔（農業支援係）</cp:lastModifiedBy>
  <cp:lastPrinted>2021-12-07T10:59:31Z</cp:lastPrinted>
  <dcterms:created xsi:type="dcterms:W3CDTF">2007-04-09T04:49:51Z</dcterms:created>
  <dcterms:modified xsi:type="dcterms:W3CDTF">2022-04-05T07:50:21Z</dcterms:modified>
</cp:coreProperties>
</file>